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Dubrov\Documents\БЮДЖЕТ\Бюджет 2025\Составление бюджета\П.9 РАСЧЕТЫ\"/>
    </mc:Choice>
  </mc:AlternateContent>
  <bookViews>
    <workbookView xWindow="3735" yWindow="765" windowWidth="19410" windowHeight="8670" tabRatio="651" firstSheet="5" activeTab="6"/>
  </bookViews>
  <sheets>
    <sheet name="Лист1" sheetId="1" state="hidden" r:id="rId1"/>
    <sheet name="Лист2" sheetId="2" state="hidden" r:id="rId2"/>
    <sheet name="Лист3" sheetId="3" state="hidden" r:id="rId3"/>
    <sheet name="Лист4" sheetId="4" state="hidden" r:id="rId4"/>
    <sheet name="Лист5" sheetId="5" state="hidden" r:id="rId5"/>
    <sheet name="Налоговая ставка" sheetId="24" r:id="rId6"/>
    <sheet name="НДФЛ 2024, темп 109.3" sheetId="29" r:id="rId7"/>
    <sheet name="204 КБК" sheetId="33" r:id="rId8"/>
    <sheet name="201 КБК" sheetId="34" r:id="rId9"/>
  </sheets>
  <definedNames>
    <definedName name="_xlnm.Print_Area" localSheetId="6">'НДФЛ 2024, темп 109.3'!$A$1:$P$86</definedName>
  </definedNames>
  <calcPr calcId="162913"/>
</workbook>
</file>

<file path=xl/calcChain.xml><?xml version="1.0" encoding="utf-8"?>
<calcChain xmlns="http://schemas.openxmlformats.org/spreadsheetml/2006/main">
  <c r="L24" i="29" l="1"/>
  <c r="L43" i="29" l="1"/>
  <c r="L20" i="29"/>
  <c r="K20" i="29" l="1"/>
  <c r="O20" i="29" l="1"/>
  <c r="N20" i="29"/>
  <c r="P20" i="29"/>
  <c r="M20" i="29"/>
  <c r="N55" i="29"/>
  <c r="O55" i="29" s="1"/>
  <c r="P55" i="29" s="1"/>
  <c r="N63" i="29"/>
  <c r="O63" i="29" s="1"/>
  <c r="P63" i="29" s="1"/>
  <c r="E9" i="34" l="1"/>
  <c r="H9" i="34" l="1"/>
  <c r="I9" i="34" s="1"/>
  <c r="M21" i="29" s="1"/>
  <c r="N21" i="29" s="1"/>
  <c r="O21" i="29" s="1"/>
  <c r="P21" i="29" s="1"/>
  <c r="L54" i="29"/>
  <c r="K53" i="29"/>
  <c r="L53" i="29" s="1"/>
  <c r="L64" i="29"/>
  <c r="M64" i="29" s="1"/>
  <c r="D9" i="34" l="1"/>
  <c r="L65" i="29" l="1"/>
  <c r="L56" i="29"/>
  <c r="L48" i="29" s="1"/>
  <c r="L41" i="29"/>
  <c r="L27" i="29"/>
  <c r="G15" i="24" s="1"/>
  <c r="L23" i="29"/>
  <c r="C5" i="33" l="1"/>
  <c r="G5" i="33" s="1"/>
  <c r="E80" i="29" l="1"/>
  <c r="E79" i="29"/>
  <c r="G22" i="24" l="1"/>
  <c r="G14" i="24"/>
  <c r="G19" i="24"/>
  <c r="G24" i="24"/>
  <c r="G23" i="24"/>
  <c r="G21" i="24"/>
  <c r="G20" i="24"/>
  <c r="G18" i="24"/>
  <c r="G17" i="24"/>
  <c r="G16" i="24"/>
  <c r="F25" i="24"/>
  <c r="G25" i="24" l="1"/>
  <c r="G28" i="24" s="1"/>
  <c r="K62" i="29" l="1"/>
  <c r="P18" i="29" l="1"/>
  <c r="L6" i="29"/>
  <c r="L66" i="29"/>
  <c r="L37" i="29"/>
  <c r="L42" i="29"/>
  <c r="E76" i="29" s="1"/>
  <c r="L35" i="29"/>
  <c r="E74" i="29" s="1"/>
  <c r="L28" i="29"/>
  <c r="E72" i="29" s="1"/>
  <c r="L69" i="29"/>
  <c r="E75" i="29" l="1"/>
  <c r="E71" i="29"/>
  <c r="E70" i="29"/>
  <c r="M53" i="29" l="1"/>
  <c r="N53" i="29" s="1"/>
  <c r="O53" i="29" s="1"/>
  <c r="P53" i="29" s="1"/>
  <c r="K57" i="29"/>
  <c r="E77" i="29"/>
  <c r="M51" i="29" l="1"/>
  <c r="N51" i="29" s="1"/>
  <c r="O51" i="29" s="1"/>
  <c r="P51" i="29" s="1"/>
  <c r="M60" i="29"/>
  <c r="N60" i="29" l="1"/>
  <c r="O60" i="29" l="1"/>
  <c r="P60" i="29" l="1"/>
  <c r="K48" i="29" l="1"/>
  <c r="M54" i="29" l="1"/>
  <c r="O54" i="29"/>
  <c r="N54" i="29"/>
  <c r="P54" i="29"/>
  <c r="M59" i="29"/>
  <c r="L62" i="29"/>
  <c r="L57" i="29" s="1"/>
  <c r="M50" i="29"/>
  <c r="K11" i="29"/>
  <c r="J20" i="29"/>
  <c r="M48" i="29" l="1"/>
  <c r="M79" i="29" s="1"/>
  <c r="N59" i="29"/>
  <c r="P64" i="29"/>
  <c r="O64" i="29"/>
  <c r="N64" i="29"/>
  <c r="M62" i="29"/>
  <c r="M57" i="29" s="1"/>
  <c r="N50" i="29"/>
  <c r="N48" i="29" s="1"/>
  <c r="E19" i="24"/>
  <c r="K37" i="29" s="1"/>
  <c r="N79" i="29" l="1"/>
  <c r="O59" i="29"/>
  <c r="N62" i="29"/>
  <c r="N57" i="29" s="1"/>
  <c r="O50" i="29"/>
  <c r="O48" i="29" s="1"/>
  <c r="M80" i="29" l="1"/>
  <c r="P59" i="29"/>
  <c r="N80" i="29"/>
  <c r="O79" i="29"/>
  <c r="P50" i="29"/>
  <c r="P48" i="29" s="1"/>
  <c r="O62" i="29"/>
  <c r="O57" i="29" s="1"/>
  <c r="O80" i="29" l="1"/>
  <c r="P62" i="29"/>
  <c r="P57" i="29" s="1"/>
  <c r="P79" i="29"/>
  <c r="K24" i="29"/>
  <c r="P80" i="29" l="1"/>
  <c r="K18" i="29"/>
  <c r="L18" i="29" l="1"/>
  <c r="M18" i="29"/>
  <c r="N18" i="29"/>
  <c r="O18" i="29"/>
  <c r="E14" i="24"/>
  <c r="I35" i="29" l="1"/>
  <c r="E25" i="24" l="1"/>
  <c r="D15" i="24" l="1"/>
  <c r="D16" i="24"/>
  <c r="D6" i="24" l="1"/>
  <c r="J11" i="29"/>
  <c r="J43" i="29" l="1"/>
  <c r="J42" i="29"/>
  <c r="J37" i="29"/>
  <c r="J35" i="29"/>
  <c r="J32" i="29"/>
  <c r="J28" i="29"/>
  <c r="J24" i="29"/>
  <c r="K26" i="29" s="1"/>
  <c r="J9" i="29" l="1"/>
  <c r="C26" i="24" l="1"/>
  <c r="I10" i="24"/>
  <c r="E26" i="24"/>
  <c r="K32" i="29" l="1"/>
  <c r="K42" i="29"/>
  <c r="E27" i="24"/>
  <c r="K43" i="29"/>
  <c r="K33" i="29" l="1"/>
  <c r="G9" i="24" l="1"/>
  <c r="I10" i="29" s="1"/>
  <c r="I66" i="29" l="1"/>
  <c r="I68" i="29"/>
  <c r="I69" i="29" s="1"/>
  <c r="I6" i="29"/>
  <c r="I20" i="29"/>
  <c r="I11" i="29" l="1"/>
  <c r="D9" i="24" l="1"/>
  <c r="H10" i="29" s="1"/>
  <c r="H67" i="29" l="1"/>
  <c r="H68" i="29" s="1"/>
  <c r="H69" i="29" s="1"/>
  <c r="H6" i="29"/>
  <c r="G20" i="29"/>
  <c r="G11" i="29" s="1"/>
  <c r="H20" i="29" l="1"/>
  <c r="D10" i="24"/>
  <c r="B10" i="24"/>
  <c r="H11" i="29" l="1"/>
  <c r="I24" i="29"/>
  <c r="H35" i="29" l="1"/>
  <c r="G35" i="29"/>
  <c r="I32" i="29"/>
  <c r="H32" i="29"/>
  <c r="G32" i="29"/>
  <c r="I28" i="29"/>
  <c r="H28" i="29"/>
  <c r="G28" i="29"/>
  <c r="H24" i="29"/>
  <c r="G24" i="29"/>
  <c r="F9" i="29"/>
  <c r="I9" i="29" l="1"/>
  <c r="H9" i="29"/>
  <c r="H8" i="29" s="1"/>
  <c r="G9" i="29"/>
  <c r="G10" i="24"/>
  <c r="I11" i="24" s="1"/>
  <c r="I8" i="29" l="1"/>
  <c r="I7" i="29" s="1"/>
  <c r="H8" i="24"/>
  <c r="I8" i="24" s="1"/>
  <c r="H5" i="24"/>
  <c r="H9" i="24"/>
  <c r="I9" i="24" s="1"/>
  <c r="H4" i="24"/>
  <c r="M17" i="29" l="1"/>
  <c r="I4" i="24"/>
  <c r="I5" i="24"/>
  <c r="N17" i="29" l="1"/>
  <c r="O17" i="29" s="1"/>
  <c r="P17" i="29" s="1"/>
  <c r="M15" i="29"/>
  <c r="M11" i="29" s="1"/>
  <c r="M12" i="29" s="1"/>
  <c r="F26" i="24"/>
  <c r="G26" i="24" s="1"/>
  <c r="H6" i="24"/>
  <c r="H7" i="24"/>
  <c r="B24" i="24" l="1"/>
  <c r="B14" i="24"/>
  <c r="B17" i="24"/>
  <c r="B15" i="24"/>
  <c r="B23" i="24"/>
  <c r="B25" i="24"/>
  <c r="B19" i="24"/>
  <c r="B20" i="24"/>
  <c r="B16" i="24"/>
  <c r="B22" i="24"/>
  <c r="B18" i="24"/>
  <c r="B21" i="24"/>
  <c r="N15" i="29"/>
  <c r="N11" i="29" s="1"/>
  <c r="M70" i="29"/>
  <c r="H26" i="24"/>
  <c r="F27" i="24"/>
  <c r="G27" i="24" s="1"/>
  <c r="G11" i="24"/>
  <c r="B9" i="24"/>
  <c r="H21" i="24" l="1"/>
  <c r="M43" i="29" s="1"/>
  <c r="H22" i="24"/>
  <c r="M46" i="29" s="1"/>
  <c r="H20" i="24"/>
  <c r="M42" i="29" s="1"/>
  <c r="M76" i="29" s="1"/>
  <c r="H16" i="24"/>
  <c r="M28" i="29" s="1"/>
  <c r="H15" i="24"/>
  <c r="H14" i="24"/>
  <c r="H19" i="24"/>
  <c r="H17" i="24"/>
  <c r="I26" i="24"/>
  <c r="O15" i="29"/>
  <c r="O11" i="29" s="1"/>
  <c r="D11" i="24"/>
  <c r="G10" i="29"/>
  <c r="N70" i="29"/>
  <c r="H27" i="24"/>
  <c r="M77" i="29"/>
  <c r="C8" i="24"/>
  <c r="C9" i="24"/>
  <c r="E7" i="24"/>
  <c r="E4" i="24"/>
  <c r="E8" i="24"/>
  <c r="C6" i="24"/>
  <c r="E6" i="24"/>
  <c r="C4" i="24"/>
  <c r="C7" i="24"/>
  <c r="E5" i="24"/>
  <c r="C5" i="24"/>
  <c r="I21" i="24" l="1"/>
  <c r="N43" i="29" s="1"/>
  <c r="N77" i="29" s="1"/>
  <c r="I22" i="24"/>
  <c r="M37" i="29"/>
  <c r="M72" i="29"/>
  <c r="F5" i="33"/>
  <c r="H5" i="33"/>
  <c r="M34" i="29" s="1"/>
  <c r="O70" i="29"/>
  <c r="P15" i="29"/>
  <c r="P11" i="29" s="1"/>
  <c r="I15" i="24"/>
  <c r="I19" i="24"/>
  <c r="N37" i="29" s="1"/>
  <c r="N75" i="29" s="1"/>
  <c r="I20" i="24"/>
  <c r="N42" i="29" s="1"/>
  <c r="N76" i="29" s="1"/>
  <c r="I17" i="24"/>
  <c r="I14" i="24"/>
  <c r="I27" i="24"/>
  <c r="I16" i="24"/>
  <c r="N28" i="29" s="1"/>
  <c r="N72" i="29" s="1"/>
  <c r="J26" i="24"/>
  <c r="J21" i="24" s="1"/>
  <c r="O43" i="29" s="1"/>
  <c r="O77" i="29" s="1"/>
  <c r="G68" i="29"/>
  <c r="G69" i="29" s="1"/>
  <c r="G6" i="29"/>
  <c r="G8" i="29"/>
  <c r="F8" i="24"/>
  <c r="F6" i="24"/>
  <c r="F7" i="24"/>
  <c r="F5" i="24"/>
  <c r="E9" i="24"/>
  <c r="F9" i="24" s="1"/>
  <c r="M16" i="5"/>
  <c r="M75" i="29" l="1"/>
  <c r="M32" i="29"/>
  <c r="P34" i="29"/>
  <c r="O34" i="29"/>
  <c r="N34" i="29"/>
  <c r="N32" i="29" s="1"/>
  <c r="K26" i="24"/>
  <c r="J14" i="24"/>
  <c r="J19" i="24"/>
  <c r="O37" i="29" s="1"/>
  <c r="O75" i="29" s="1"/>
  <c r="J15" i="24"/>
  <c r="O24" i="29" s="1"/>
  <c r="K27" i="24"/>
  <c r="J17" i="24"/>
  <c r="J25" i="24"/>
  <c r="J20" i="24"/>
  <c r="O42" i="29" s="1"/>
  <c r="O76" i="29" s="1"/>
  <c r="J16" i="24"/>
  <c r="O28" i="29" s="1"/>
  <c r="O72" i="29" s="1"/>
  <c r="J22" i="24"/>
  <c r="O46" i="29" s="1"/>
  <c r="J18" i="24"/>
  <c r="O35" i="29" s="1"/>
  <c r="O74" i="29" s="1"/>
  <c r="J27" i="24"/>
  <c r="I6" i="24"/>
  <c r="I7" i="24"/>
  <c r="E21" i="5"/>
  <c r="C21" i="5"/>
  <c r="B21" i="5"/>
  <c r="E19" i="5"/>
  <c r="C19" i="5"/>
  <c r="B19" i="5"/>
  <c r="E17" i="5"/>
  <c r="C17" i="5"/>
  <c r="B17" i="5"/>
  <c r="E12" i="5"/>
  <c r="C12" i="5"/>
  <c r="J12" i="5" s="1"/>
  <c r="J13" i="5" s="1"/>
  <c r="B12" i="5"/>
  <c r="E11" i="5"/>
  <c r="C11" i="5"/>
  <c r="B11" i="5"/>
  <c r="E8" i="5"/>
  <c r="C8" i="5"/>
  <c r="B8" i="5"/>
  <c r="F7" i="5"/>
  <c r="D7" i="5"/>
  <c r="H4" i="5"/>
  <c r="H5" i="5" s="1"/>
  <c r="F4" i="5"/>
  <c r="F5" i="5" s="1"/>
  <c r="D4" i="5"/>
  <c r="D5" i="5" s="1"/>
  <c r="O32" i="29" l="1"/>
  <c r="O9" i="29" s="1"/>
  <c r="O71" i="29"/>
  <c r="K16" i="24"/>
  <c r="P28" i="29" s="1"/>
  <c r="P72" i="29" s="1"/>
  <c r="K21" i="24"/>
  <c r="P43" i="29" s="1"/>
  <c r="P77" i="29" s="1"/>
  <c r="K14" i="24"/>
  <c r="K20" i="24"/>
  <c r="P42" i="29" s="1"/>
  <c r="P76" i="29" s="1"/>
  <c r="K22" i="24"/>
  <c r="P46" i="29" s="1"/>
  <c r="K18" i="24"/>
  <c r="P35" i="29" s="1"/>
  <c r="P74" i="29" s="1"/>
  <c r="K25" i="24"/>
  <c r="K17" i="24"/>
  <c r="P32" i="29" s="1"/>
  <c r="K19" i="24"/>
  <c r="P37" i="29" s="1"/>
  <c r="P75" i="29" s="1"/>
  <c r="K15" i="24"/>
  <c r="P24" i="29" s="1"/>
  <c r="P71" i="29" s="1"/>
  <c r="P70" i="29"/>
  <c r="F11" i="5"/>
  <c r="F8" i="5"/>
  <c r="G7" i="5" s="1"/>
  <c r="I18" i="24"/>
  <c r="N35" i="29" s="1"/>
  <c r="N74" i="29" s="1"/>
  <c r="E13" i="5"/>
  <c r="E22" i="5" s="1"/>
  <c r="K12" i="5"/>
  <c r="K13" i="5" s="1"/>
  <c r="C13" i="5"/>
  <c r="F21" i="5"/>
  <c r="B13" i="5"/>
  <c r="I12" i="5"/>
  <c r="I13" i="5" s="1"/>
  <c r="F17" i="5"/>
  <c r="F19" i="5"/>
  <c r="B12" i="4"/>
  <c r="B13" i="4" s="1"/>
  <c r="C12" i="4"/>
  <c r="C13" i="4" s="1"/>
  <c r="O7" i="29" l="1"/>
  <c r="P9" i="29"/>
  <c r="G18" i="5"/>
  <c r="G10" i="5"/>
  <c r="G12" i="5" s="1"/>
  <c r="L12" i="5" s="1"/>
  <c r="L13" i="5" s="1"/>
  <c r="L14" i="5" s="1"/>
  <c r="L15" i="5" s="1"/>
  <c r="M15" i="5" s="1"/>
  <c r="G21" i="5"/>
  <c r="G16" i="5"/>
  <c r="F13" i="5"/>
  <c r="D13" i="5"/>
  <c r="H18" i="24"/>
  <c r="M35" i="29" s="1"/>
  <c r="M74" i="29" s="1"/>
  <c r="K35" i="29"/>
  <c r="L32" i="29"/>
  <c r="D13" i="4"/>
  <c r="E12" i="4"/>
  <c r="E13" i="4" s="1"/>
  <c r="F13" i="4" s="1"/>
  <c r="E19" i="4"/>
  <c r="C19" i="4"/>
  <c r="B19" i="4"/>
  <c r="E17" i="4"/>
  <c r="C17" i="4"/>
  <c r="B17" i="4"/>
  <c r="B21" i="4"/>
  <c r="E21" i="4"/>
  <c r="C21" i="4"/>
  <c r="E11" i="4"/>
  <c r="C11" i="4"/>
  <c r="B11" i="4"/>
  <c r="E8" i="4"/>
  <c r="C8" i="4"/>
  <c r="B8" i="4"/>
  <c r="F7" i="4"/>
  <c r="D7" i="4"/>
  <c r="F4" i="4"/>
  <c r="F5" i="4" s="1"/>
  <c r="H4" i="4"/>
  <c r="H5" i="4" s="1"/>
  <c r="D4" i="4"/>
  <c r="D5" i="4" s="1"/>
  <c r="J68" i="3"/>
  <c r="J67" i="3"/>
  <c r="J66" i="3"/>
  <c r="L73" i="3"/>
  <c r="L72" i="3"/>
  <c r="L78" i="3"/>
  <c r="L77" i="3"/>
  <c r="L74" i="3"/>
  <c r="M72" i="3"/>
  <c r="H12" i="5" l="1"/>
  <c r="P7" i="29"/>
  <c r="E73" i="29"/>
  <c r="G13" i="5"/>
  <c r="G14" i="5" s="1"/>
  <c r="L75" i="3"/>
  <c r="F21" i="4"/>
  <c r="E22" i="4"/>
  <c r="F11" i="4"/>
  <c r="F8" i="4"/>
  <c r="G7" i="4" s="1"/>
  <c r="F19" i="4"/>
  <c r="F17" i="4"/>
  <c r="J31" i="3"/>
  <c r="G22" i="5" l="1"/>
  <c r="G24" i="5" s="1"/>
  <c r="G25" i="5" s="1"/>
  <c r="G27" i="5" s="1"/>
  <c r="G29" i="5" s="1"/>
  <c r="G33" i="5" s="1"/>
  <c r="O73" i="29"/>
  <c r="P73" i="29"/>
  <c r="N73" i="29"/>
  <c r="M73" i="29"/>
  <c r="H13" i="5"/>
  <c r="K28" i="29"/>
  <c r="G18" i="4"/>
  <c r="L76" i="3"/>
  <c r="M76" i="3" s="1"/>
  <c r="M80" i="3"/>
  <c r="G21" i="4"/>
  <c r="G10" i="4"/>
  <c r="G12" i="4" s="1"/>
  <c r="G16" i="4"/>
  <c r="L35" i="3"/>
  <c r="J36" i="3"/>
  <c r="J34" i="3" s="1"/>
  <c r="G13" i="4" l="1"/>
  <c r="H12" i="4"/>
  <c r="C58" i="3"/>
  <c r="C59" i="3" s="1"/>
  <c r="C56" i="3"/>
  <c r="I57" i="3"/>
  <c r="F58" i="3"/>
  <c r="H60" i="3" s="1"/>
  <c r="F56" i="3"/>
  <c r="I46" i="3"/>
  <c r="J46" i="3" s="1"/>
  <c r="E46" i="3"/>
  <c r="G4" i="3"/>
  <c r="D41" i="3"/>
  <c r="C39" i="3"/>
  <c r="E37" i="3"/>
  <c r="F35" i="3"/>
  <c r="H35" i="3" s="1"/>
  <c r="F31" i="3"/>
  <c r="F34" i="3" s="1"/>
  <c r="C29" i="3"/>
  <c r="E26" i="3"/>
  <c r="C23" i="3"/>
  <c r="D23" i="3" s="1"/>
  <c r="E23" i="3" s="1"/>
  <c r="H21" i="3"/>
  <c r="D19" i="3"/>
  <c r="E19" i="3" s="1"/>
  <c r="C16" i="3"/>
  <c r="E16" i="3" s="1"/>
  <c r="C12" i="3"/>
  <c r="D12" i="3" s="1"/>
  <c r="H11" i="3"/>
  <c r="H8" i="3"/>
  <c r="H31" i="3" s="1"/>
  <c r="C7" i="3"/>
  <c r="E6" i="3"/>
  <c r="C5" i="3"/>
  <c r="I4" i="3"/>
  <c r="E4" i="3"/>
  <c r="H22" i="2"/>
  <c r="H12" i="2"/>
  <c r="I5" i="2"/>
  <c r="H9" i="2"/>
  <c r="H32" i="2" s="1"/>
  <c r="F36" i="2"/>
  <c r="H36" i="2" s="1"/>
  <c r="F32" i="2"/>
  <c r="F17" i="2" s="1"/>
  <c r="G17" i="2" s="1"/>
  <c r="F5" i="3" l="1"/>
  <c r="F35" i="2"/>
  <c r="F37" i="2" s="1"/>
  <c r="F39" i="2" s="1"/>
  <c r="F48" i="2" s="1"/>
  <c r="F6" i="2"/>
  <c r="F16" i="3"/>
  <c r="G16" i="3" s="1"/>
  <c r="F23" i="3"/>
  <c r="H20" i="3" s="1"/>
  <c r="I20" i="3" s="1"/>
  <c r="F46" i="2"/>
  <c r="F13" i="2"/>
  <c r="H11" i="2" s="1"/>
  <c r="H15" i="2"/>
  <c r="F24" i="2"/>
  <c r="H21" i="2" s="1"/>
  <c r="H13" i="4"/>
  <c r="G22" i="4"/>
  <c r="G24" i="4" s="1"/>
  <c r="G25" i="4" s="1"/>
  <c r="G27" i="4" s="1"/>
  <c r="G29" i="4" s="1"/>
  <c r="G33" i="4" s="1"/>
  <c r="G14" i="4"/>
  <c r="F12" i="3"/>
  <c r="H10" i="3" s="1"/>
  <c r="H61" i="3"/>
  <c r="H59" i="3" s="1"/>
  <c r="I60" i="3"/>
  <c r="D8" i="3"/>
  <c r="D17" i="3" s="1"/>
  <c r="F59" i="3"/>
  <c r="F36" i="3"/>
  <c r="F38" i="3" s="1"/>
  <c r="F45" i="3" s="1"/>
  <c r="G45" i="3" s="1"/>
  <c r="F8" i="3"/>
  <c r="E12" i="3"/>
  <c r="G19" i="3"/>
  <c r="C40" i="2"/>
  <c r="E7" i="2"/>
  <c r="E27" i="2"/>
  <c r="E38" i="2"/>
  <c r="E5" i="2"/>
  <c r="C17" i="2"/>
  <c r="E17" i="2" s="1"/>
  <c r="C13" i="2"/>
  <c r="C30" i="2"/>
  <c r="C8" i="2"/>
  <c r="C6" i="2"/>
  <c r="F9" i="2" s="1"/>
  <c r="I9" i="2" s="1"/>
  <c r="C24" i="2"/>
  <c r="D24" i="2" s="1"/>
  <c r="E24" i="2" s="1"/>
  <c r="D20" i="2"/>
  <c r="G20" i="2" s="1"/>
  <c r="J34" i="1"/>
  <c r="J32" i="1"/>
  <c r="J15" i="1" s="1"/>
  <c r="K7" i="1"/>
  <c r="K13" i="1" s="1"/>
  <c r="K29" i="1"/>
  <c r="J27" i="1"/>
  <c r="J26" i="1"/>
  <c r="J31" i="1" s="1"/>
  <c r="J8" i="1"/>
  <c r="J7" i="1"/>
  <c r="J5" i="1" s="1"/>
  <c r="J25" i="1"/>
  <c r="J24" i="1"/>
  <c r="F47" i="2" l="1"/>
  <c r="H14" i="3"/>
  <c r="H16" i="3" s="1"/>
  <c r="J14" i="3" s="1"/>
  <c r="J15" i="3" s="1"/>
  <c r="F44" i="2"/>
  <c r="F45" i="2" s="1"/>
  <c r="F40" i="2"/>
  <c r="F50" i="2"/>
  <c r="F51" i="2" s="1"/>
  <c r="L4" i="1"/>
  <c r="J6" i="1"/>
  <c r="K8" i="1" s="1"/>
  <c r="J33" i="1"/>
  <c r="J35" i="1" s="1"/>
  <c r="J36" i="1" s="1"/>
  <c r="J18" i="1"/>
  <c r="K16" i="1" s="1"/>
  <c r="H23" i="3"/>
  <c r="J20" i="3" s="1"/>
  <c r="I59" i="3"/>
  <c r="J11" i="1"/>
  <c r="K9" i="1" s="1"/>
  <c r="L9" i="1" s="1"/>
  <c r="I15" i="2"/>
  <c r="H17" i="2"/>
  <c r="H16" i="2"/>
  <c r="J22" i="1"/>
  <c r="K19" i="1" s="1"/>
  <c r="K26" i="1" s="1"/>
  <c r="H13" i="2"/>
  <c r="I11" i="2"/>
  <c r="E20" i="2"/>
  <c r="I21" i="2"/>
  <c r="H24" i="2"/>
  <c r="D9" i="2"/>
  <c r="D11" i="2" s="1"/>
  <c r="H12" i="3"/>
  <c r="J10" i="3" s="1"/>
  <c r="I10" i="3"/>
  <c r="F44" i="3"/>
  <c r="F39" i="3"/>
  <c r="G12" i="3"/>
  <c r="D14" i="3"/>
  <c r="G14" i="3" s="1"/>
  <c r="F46" i="3"/>
  <c r="D20" i="3"/>
  <c r="D24" i="3" s="1"/>
  <c r="D10" i="3"/>
  <c r="G10" i="3" s="1"/>
  <c r="E45" i="3"/>
  <c r="I45" i="3"/>
  <c r="J45" i="3" s="1"/>
  <c r="G8" i="3"/>
  <c r="F7" i="3"/>
  <c r="I8" i="3"/>
  <c r="D18" i="3"/>
  <c r="E17" i="3"/>
  <c r="G17" i="3"/>
  <c r="D13" i="2"/>
  <c r="E13" i="2" s="1"/>
  <c r="H18" i="1"/>
  <c r="H19" i="1" s="1"/>
  <c r="E18" i="1"/>
  <c r="E19" i="1" s="1"/>
  <c r="H23" i="1"/>
  <c r="H21" i="1"/>
  <c r="H17" i="1"/>
  <c r="H15" i="1"/>
  <c r="H12" i="1"/>
  <c r="E23" i="1"/>
  <c r="F31" i="1"/>
  <c r="D31" i="1"/>
  <c r="E21" i="1"/>
  <c r="E38" i="1"/>
  <c r="E17" i="1"/>
  <c r="C38" i="1"/>
  <c r="E15" i="1"/>
  <c r="E12" i="1"/>
  <c r="E10" i="1"/>
  <c r="F8" i="1"/>
  <c r="F18" i="1" s="1"/>
  <c r="E9" i="1"/>
  <c r="D8" i="1"/>
  <c r="D37" i="1" s="1"/>
  <c r="D34" i="1"/>
  <c r="C24" i="1"/>
  <c r="C23" i="1"/>
  <c r="C21" i="1"/>
  <c r="C18" i="1"/>
  <c r="C19" i="1" s="1"/>
  <c r="C17" i="1"/>
  <c r="C15" i="1"/>
  <c r="C12" i="1"/>
  <c r="C10" i="1"/>
  <c r="C9" i="1"/>
  <c r="D20" i="1" l="1"/>
  <c r="D11" i="3"/>
  <c r="H15" i="3"/>
  <c r="I15" i="3" s="1"/>
  <c r="F48" i="3"/>
  <c r="F49" i="3" s="1"/>
  <c r="E20" i="3"/>
  <c r="I14" i="3"/>
  <c r="H33" i="3"/>
  <c r="H34" i="3" s="1"/>
  <c r="H36" i="3" s="1"/>
  <c r="H38" i="3" s="1"/>
  <c r="H46" i="3" s="1"/>
  <c r="E10" i="3"/>
  <c r="D13" i="3"/>
  <c r="G13" i="3" s="1"/>
  <c r="D12" i="2"/>
  <c r="G12" i="2" s="1"/>
  <c r="D14" i="2"/>
  <c r="E14" i="2" s="1"/>
  <c r="D16" i="1"/>
  <c r="D10" i="1"/>
  <c r="I16" i="2"/>
  <c r="H34" i="2"/>
  <c r="H35" i="2" s="1"/>
  <c r="H37" i="2" s="1"/>
  <c r="H39" i="2" s="1"/>
  <c r="F20" i="1"/>
  <c r="J11" i="3"/>
  <c r="D15" i="2"/>
  <c r="D18" i="2"/>
  <c r="D21" i="2"/>
  <c r="G13" i="2"/>
  <c r="F10" i="1"/>
  <c r="F22" i="1"/>
  <c r="F24" i="1" s="1"/>
  <c r="E26" i="1"/>
  <c r="E25" i="1" s="1"/>
  <c r="G11" i="2"/>
  <c r="E11" i="2"/>
  <c r="F11" i="1"/>
  <c r="F16" i="1"/>
  <c r="F37" i="1"/>
  <c r="F42" i="3"/>
  <c r="D15" i="3"/>
  <c r="E15" i="3" s="1"/>
  <c r="G44" i="3"/>
  <c r="I44" i="3" s="1"/>
  <c r="J44" i="3" s="1"/>
  <c r="E14" i="3"/>
  <c r="G20" i="3"/>
  <c r="D21" i="3"/>
  <c r="E21" i="3" s="1"/>
  <c r="G18" i="3"/>
  <c r="E18" i="3"/>
  <c r="E11" i="3"/>
  <c r="G11" i="3"/>
  <c r="D25" i="3"/>
  <c r="E25" i="3" s="1"/>
  <c r="D28" i="3"/>
  <c r="D29" i="3" s="1"/>
  <c r="E29" i="3" s="1"/>
  <c r="E24" i="3"/>
  <c r="H39" i="3"/>
  <c r="K10" i="1"/>
  <c r="K17" i="1"/>
  <c r="K12" i="1"/>
  <c r="D18" i="1"/>
  <c r="D19" i="1" s="1"/>
  <c r="D22" i="1"/>
  <c r="D24" i="1" s="1"/>
  <c r="D32" i="1" s="1"/>
  <c r="D11" i="1"/>
  <c r="D13" i="1" s="1"/>
  <c r="D15" i="1" s="1"/>
  <c r="G14" i="2" l="1"/>
  <c r="E12" i="2"/>
  <c r="I38" i="3"/>
  <c r="E44" i="3"/>
  <c r="E13" i="3"/>
  <c r="H44" i="3"/>
  <c r="H45" i="3"/>
  <c r="F13" i="1"/>
  <c r="F15" i="1" s="1"/>
  <c r="F26" i="1" s="1"/>
  <c r="F33" i="1" s="1"/>
  <c r="D22" i="3"/>
  <c r="E22" i="3" s="1"/>
  <c r="G15" i="3"/>
  <c r="K15" i="3" s="1"/>
  <c r="L14" i="3" s="1"/>
  <c r="L15" i="3" s="1"/>
  <c r="G21" i="2"/>
  <c r="D22" i="2"/>
  <c r="E21" i="2"/>
  <c r="D25" i="2"/>
  <c r="G21" i="3"/>
  <c r="K21" i="3" s="1"/>
  <c r="L20" i="3" s="1"/>
  <c r="L21" i="3" s="1"/>
  <c r="K11" i="3"/>
  <c r="L10" i="3" s="1"/>
  <c r="L11" i="3" s="1"/>
  <c r="G18" i="2"/>
  <c r="D19" i="2"/>
  <c r="E18" i="2"/>
  <c r="D16" i="2"/>
  <c r="G15" i="2"/>
  <c r="E15" i="2"/>
  <c r="H47" i="2"/>
  <c r="H48" i="2"/>
  <c r="H40" i="2"/>
  <c r="H46" i="2"/>
  <c r="D30" i="3"/>
  <c r="D31" i="3" s="1"/>
  <c r="K27" i="1"/>
  <c r="K30" i="1"/>
  <c r="K31" i="1" s="1"/>
  <c r="K32" i="1" s="1"/>
  <c r="L5" i="1" s="1"/>
  <c r="K14" i="1"/>
  <c r="K24" i="1"/>
  <c r="K21" i="1"/>
  <c r="K34" i="1" s="1"/>
  <c r="K20" i="1"/>
  <c r="D26" i="1"/>
  <c r="D33" i="1"/>
  <c r="D27" i="1"/>
  <c r="D35" i="3" l="1"/>
  <c r="H48" i="3"/>
  <c r="J49" i="3" s="1"/>
  <c r="H42" i="3"/>
  <c r="I42" i="3" s="1"/>
  <c r="H50" i="2"/>
  <c r="G16" i="2"/>
  <c r="E16" i="2"/>
  <c r="G22" i="2"/>
  <c r="E22" i="2"/>
  <c r="D23" i="2"/>
  <c r="G19" i="2"/>
  <c r="E19" i="2"/>
  <c r="E25" i="2"/>
  <c r="D26" i="2"/>
  <c r="E26" i="2" s="1"/>
  <c r="D29" i="2"/>
  <c r="D30" i="2" s="1"/>
  <c r="E30" i="2" s="1"/>
  <c r="G35" i="3"/>
  <c r="E35" i="3"/>
  <c r="D7" i="3"/>
  <c r="E7" i="3" s="1"/>
  <c r="D5" i="3"/>
  <c r="D33" i="3"/>
  <c r="D32" i="3"/>
  <c r="E32" i="3" s="1"/>
  <c r="G31" i="3"/>
  <c r="E31" i="3"/>
  <c r="K33" i="1"/>
  <c r="K35" i="1" s="1"/>
  <c r="K37" i="1" s="1"/>
  <c r="L32" i="1"/>
  <c r="K25" i="1"/>
  <c r="D35" i="1"/>
  <c r="D36" i="1"/>
  <c r="I64" i="3" l="1"/>
  <c r="I63" i="3"/>
  <c r="D31" i="2"/>
  <c r="D32" i="2" s="1"/>
  <c r="G32" i="2" s="1"/>
  <c r="K38" i="1"/>
  <c r="K41" i="1"/>
  <c r="K40" i="1"/>
  <c r="E23" i="2"/>
  <c r="D36" i="2"/>
  <c r="E5" i="3"/>
  <c r="L5" i="3"/>
  <c r="L8" i="3" s="1"/>
  <c r="L18" i="3" s="1"/>
  <c r="L31" i="3" s="1"/>
  <c r="D34" i="3"/>
  <c r="E33" i="3"/>
  <c r="D8" i="2" l="1"/>
  <c r="E8" i="2" s="1"/>
  <c r="D6" i="2"/>
  <c r="E6" i="2" s="1"/>
  <c r="D34" i="2"/>
  <c r="D35" i="2" s="1"/>
  <c r="D33" i="2"/>
  <c r="E33" i="2" s="1"/>
  <c r="E32" i="2"/>
  <c r="G36" i="2"/>
  <c r="E36" i="2"/>
  <c r="D36" i="3"/>
  <c r="E34" i="3"/>
  <c r="E34" i="2" l="1"/>
  <c r="D37" i="2"/>
  <c r="E35" i="2"/>
  <c r="L34" i="3"/>
  <c r="L36" i="3" s="1"/>
  <c r="L38" i="3" s="1"/>
  <c r="L57" i="3"/>
  <c r="L58" i="3" s="1"/>
  <c r="D38" i="3"/>
  <c r="E36" i="3"/>
  <c r="D39" i="2" l="1"/>
  <c r="E37" i="2"/>
  <c r="D46" i="3"/>
  <c r="G38" i="3"/>
  <c r="L61" i="3"/>
  <c r="M58" i="3"/>
  <c r="L45" i="3"/>
  <c r="L44" i="3"/>
  <c r="L46" i="3"/>
  <c r="D45" i="3"/>
  <c r="D44" i="3"/>
  <c r="D39" i="3"/>
  <c r="E39" i="3" s="1"/>
  <c r="E38" i="3"/>
  <c r="D40" i="2" l="1"/>
  <c r="E40" i="2" s="1"/>
  <c r="D48" i="2"/>
  <c r="D46" i="2"/>
  <c r="D47" i="2"/>
  <c r="E39" i="2"/>
  <c r="L48" i="3"/>
  <c r="L63" i="3"/>
  <c r="L62" i="3"/>
  <c r="J75" i="3" s="1"/>
  <c r="D48" i="3"/>
  <c r="D49" i="3" s="1"/>
  <c r="L42" i="3"/>
  <c r="D42" i="3"/>
  <c r="D50" i="2" l="1"/>
  <c r="D51" i="2" s="1"/>
  <c r="L52" i="3"/>
  <c r="M48" i="3"/>
  <c r="L53" i="3"/>
  <c r="F4" i="24" l="1"/>
  <c r="C25" i="24"/>
  <c r="I25" i="24" l="1"/>
  <c r="J10" i="29"/>
  <c r="H25" i="24"/>
  <c r="J46" i="29"/>
  <c r="J6" i="29" l="1"/>
  <c r="J8" i="29"/>
  <c r="J7" i="29" s="1"/>
  <c r="J66" i="29"/>
  <c r="J68" i="29"/>
  <c r="J69" i="29" s="1"/>
  <c r="N46" i="29"/>
  <c r="K46" i="29"/>
  <c r="K9" i="29" s="1"/>
  <c r="L46" i="29"/>
  <c r="N24" i="29"/>
  <c r="M24" i="29"/>
  <c r="N71" i="29" l="1"/>
  <c r="N9" i="29"/>
  <c r="M71" i="29"/>
  <c r="M9" i="29"/>
  <c r="L9" i="29"/>
  <c r="E78" i="29"/>
  <c r="K10" i="29"/>
  <c r="K66" i="29" s="1"/>
  <c r="N7" i="29" l="1"/>
  <c r="O78" i="29"/>
  <c r="O69" i="29" s="1"/>
  <c r="P78" i="29"/>
  <c r="P69" i="29" s="1"/>
  <c r="M78" i="29"/>
  <c r="M69" i="29" s="1"/>
  <c r="N78" i="29"/>
  <c r="N69" i="29" s="1"/>
  <c r="L8" i="29"/>
  <c r="L7" i="29" s="1"/>
  <c r="K68" i="29"/>
  <c r="K69" i="29" s="1"/>
  <c r="K8" i="29"/>
  <c r="K7" i="29" s="1"/>
  <c r="O6" i="29" l="1"/>
  <c r="O68" i="29"/>
  <c r="O67" i="29" s="1"/>
  <c r="O66" i="29" s="1"/>
  <c r="P6" i="29"/>
  <c r="P68" i="29"/>
  <c r="P67" i="29" s="1"/>
  <c r="P66" i="29" s="1"/>
  <c r="N6" i="29"/>
  <c r="N68" i="29"/>
  <c r="N67" i="29" s="1"/>
  <c r="N66" i="29" s="1"/>
  <c r="M6" i="29"/>
  <c r="M68" i="29"/>
  <c r="M7" i="29"/>
  <c r="M67" i="29" l="1"/>
  <c r="M66" i="29" s="1"/>
</calcChain>
</file>

<file path=xl/sharedStrings.xml><?xml version="1.0" encoding="utf-8"?>
<sst xmlns="http://schemas.openxmlformats.org/spreadsheetml/2006/main" count="497" uniqueCount="320">
  <si>
    <t>ПОКАЗАТЕЛИ</t>
  </si>
  <si>
    <t>ФАКТ 2014</t>
  </si>
  <si>
    <t>ПРОГНОЗ 2016</t>
  </si>
  <si>
    <t>ПРОГНОЗ 2017</t>
  </si>
  <si>
    <t>ВРП млн. руб.</t>
  </si>
  <si>
    <t>Рост ВРП в % к предыдущему году в сопоставимых ценах</t>
  </si>
  <si>
    <t>ФАКТ 2015</t>
  </si>
  <si>
    <t>Прибыль прибыльных, млн. руб.</t>
  </si>
  <si>
    <t>в % к предыдущему году в действующих ценах</t>
  </si>
  <si>
    <t>Прибыль н/о для расчета, тыс. руб. 5-П 1000+1010-1020-1030</t>
  </si>
  <si>
    <t>Прибыль н/о в прибыли прибыльных,%</t>
  </si>
  <si>
    <t>Прибыль н/о в ВРП, %</t>
  </si>
  <si>
    <t>уменьшающие убытки, 5П 1070</t>
  </si>
  <si>
    <t>доля уменьшающих убытков в н/о прибыли</t>
  </si>
  <si>
    <t xml:space="preserve">Налогоблагаемая база </t>
  </si>
  <si>
    <t>Ставка в региональный бюджет</t>
  </si>
  <si>
    <t>Исчисленный налог</t>
  </si>
  <si>
    <t xml:space="preserve">Результаты годовогоперерасчета 5п, 1120-1130-1140-1150 </t>
  </si>
  <si>
    <t>Доля перерасчетов в н/о прибыли</t>
  </si>
  <si>
    <t>Недопоступление налога в связи с убытком, 5п 1157*18%/20%</t>
  </si>
  <si>
    <t xml:space="preserve">Доля в н/о прибыли,% </t>
  </si>
  <si>
    <t xml:space="preserve">Льготы региона 5П </t>
  </si>
  <si>
    <t xml:space="preserve">Налогоблагаемая база по КГН </t>
  </si>
  <si>
    <t>Доля в основной н/о прибыли</t>
  </si>
  <si>
    <t>Налог по КГН</t>
  </si>
  <si>
    <t>Собираемость</t>
  </si>
  <si>
    <t>ПРОГНОЗ НАЛОГА НА ПРИБЫЛЬ</t>
  </si>
  <si>
    <t>ПРОГНОЗ НАЛОГА НА ПРИБЫЛЬ без КГН</t>
  </si>
  <si>
    <t>Фактически поступило налога на прибыль</t>
  </si>
  <si>
    <t>Фактически поступило налога на прибыль за 9 месяцев</t>
  </si>
  <si>
    <t xml:space="preserve">Базовая цена на нефть </t>
  </si>
  <si>
    <t>Коэффициент изменения цены на нефть</t>
  </si>
  <si>
    <t>Поправка прогноза по КГН на изменение цены на нефть</t>
  </si>
  <si>
    <t>Прогноз налога на прибыль исходя из достигнутых темпов</t>
  </si>
  <si>
    <t>Отклонение</t>
  </si>
  <si>
    <t>Отклонение, %</t>
  </si>
  <si>
    <t>Доходы исключаемые из прибыли</t>
  </si>
  <si>
    <t>5 П на 01.07.2016</t>
  </si>
  <si>
    <t>Прогноз на 2016 исходя из отчета 5ПМ за 2015</t>
  </si>
  <si>
    <t>Налоговая база по организациям без обособок, строка 1010</t>
  </si>
  <si>
    <t>Сумма налога на прибыль</t>
  </si>
  <si>
    <t>Доля н/о базы в прибыли для н/о</t>
  </si>
  <si>
    <t>льготы региона</t>
  </si>
  <si>
    <t>налоговая база по обособкам, 1110</t>
  </si>
  <si>
    <t>налог на прибыль</t>
  </si>
  <si>
    <t>Доля в н/о прибыли</t>
  </si>
  <si>
    <t>База по ликвидированным обособкам</t>
  </si>
  <si>
    <t>доля в н/о базе</t>
  </si>
  <si>
    <t>база по группе обособок 1310</t>
  </si>
  <si>
    <t xml:space="preserve">льготы региона </t>
  </si>
  <si>
    <t>Всего база по региону</t>
  </si>
  <si>
    <t>КГН</t>
  </si>
  <si>
    <t>налог по КГН</t>
  </si>
  <si>
    <t>доля базы по кгн в общей базе</t>
  </si>
  <si>
    <t>итого база кпрогнозу</t>
  </si>
  <si>
    <t xml:space="preserve">собираемость </t>
  </si>
  <si>
    <t xml:space="preserve">итого налог </t>
  </si>
  <si>
    <t>налоговая база по  5-п</t>
  </si>
  <si>
    <t xml:space="preserve">краевой бюджет </t>
  </si>
  <si>
    <t>доля налоговой базы в прибыли прибыльных</t>
  </si>
  <si>
    <t xml:space="preserve">льготы </t>
  </si>
  <si>
    <t>Прогноз поступления налога на прибыль в консолидированный бюджет Краснодарского края (по данным отчета по форме № 5 ПМ)</t>
  </si>
  <si>
    <t>Показатели</t>
  </si>
  <si>
    <t xml:space="preserve">факт 2015 (по данным отчета №5-ПМ) </t>
  </si>
  <si>
    <t>Прогноз 2016</t>
  </si>
  <si>
    <t>Темп к 2015, %</t>
  </si>
  <si>
    <t xml:space="preserve">ВРП, млн. рублей </t>
  </si>
  <si>
    <t>Доля н/о базы региона в ВРП</t>
  </si>
  <si>
    <t>Прибыль прибыльных организаций</t>
  </si>
  <si>
    <t>Прогноз н/о базы исходя из ВРП</t>
  </si>
  <si>
    <t>Прогноз по данным 5ПМ</t>
  </si>
  <si>
    <t>льготы региона, 1140</t>
  </si>
  <si>
    <t>Доля н/о базы в совокупной базе  для н/о, %</t>
  </si>
  <si>
    <t xml:space="preserve">доля в совокупной базе </t>
  </si>
  <si>
    <t>база по КГН по данным отчета № 5 КГНМ</t>
  </si>
  <si>
    <t>итого база к прогнозу</t>
  </si>
  <si>
    <t>налог на прибыль по ставке 18 %</t>
  </si>
  <si>
    <t>налог на прибыль без льгот</t>
  </si>
  <si>
    <t>Прогноз снижениябазы по КГН в связи с изменением цены на нефть</t>
  </si>
  <si>
    <t>Прогноз 2017</t>
  </si>
  <si>
    <t>Темп к 2016, %</t>
  </si>
  <si>
    <t>Прогноз 2019</t>
  </si>
  <si>
    <t>Темп к 2018, %</t>
  </si>
  <si>
    <t>Всего база по региону, сумма строк  7, 11, 14, 17 минус строка 27</t>
  </si>
  <si>
    <t>доля базы по кгн в базе строка 17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</si>
  <si>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</si>
  <si>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</t>
  </si>
  <si>
    <t xml:space="preserve">                                                </t>
  </si>
  <si>
    <t>по результам перерасчетов за 2015</t>
  </si>
  <si>
    <t xml:space="preserve">погашение задолженности </t>
  </si>
  <si>
    <t xml:space="preserve">по контрольной работе </t>
  </si>
  <si>
    <t>ФАКТ  2016</t>
  </si>
  <si>
    <t>Темп к прогнозу2016, %</t>
  </si>
  <si>
    <t>прогноз поступления налога на прибыль всего</t>
  </si>
  <si>
    <t>факт 2016</t>
  </si>
  <si>
    <t xml:space="preserve">по результам годовых перерасчетов </t>
  </si>
  <si>
    <t xml:space="preserve">прогноз дополнительных поступлений </t>
  </si>
  <si>
    <t>погрешность прогноза</t>
  </si>
  <si>
    <t>доля дополнительных поступлений в общем объеме налога, исчисленного по базе текущего периода , определена по данным приложение №2 по налогу на прибыль ФБ (форма №1-ПД)</t>
  </si>
  <si>
    <t xml:space="preserve">фактически поступило </t>
  </si>
  <si>
    <t>Факт 2017</t>
  </si>
  <si>
    <t>Темп к прогнозу  2018, %</t>
  </si>
  <si>
    <t>доля</t>
  </si>
  <si>
    <t xml:space="preserve">рассчитано прямым счетом исходя из соотношения каждого месяца к предыдущему </t>
  </si>
  <si>
    <t xml:space="preserve">факт 1 полугодия 2016 </t>
  </si>
  <si>
    <t xml:space="preserve">% в общем объеме </t>
  </si>
  <si>
    <t xml:space="preserve">факт 1 полугодия 2017 </t>
  </si>
  <si>
    <t>факт 2 полугодия 2016</t>
  </si>
  <si>
    <t>прогноз на 2 полугодие  2017</t>
  </si>
  <si>
    <t>1-пд</t>
  </si>
  <si>
    <t>1-бс</t>
  </si>
  <si>
    <t>дииденды</t>
  </si>
  <si>
    <t>ФБ</t>
  </si>
  <si>
    <t>1 кв.2017</t>
  </si>
  <si>
    <t>2 кв.2017</t>
  </si>
  <si>
    <t>3 кв.2017</t>
  </si>
  <si>
    <t>4 кв.2017</t>
  </si>
  <si>
    <t>1 кв. 2018</t>
  </si>
  <si>
    <t>2 кв.2018</t>
  </si>
  <si>
    <t>среднее</t>
  </si>
  <si>
    <t xml:space="preserve">приведенные </t>
  </si>
  <si>
    <t>поступления</t>
  </si>
  <si>
    <t>общая</t>
  </si>
  <si>
    <t>дивиденды</t>
  </si>
  <si>
    <t>гмб</t>
  </si>
  <si>
    <t>всего</t>
  </si>
  <si>
    <t xml:space="preserve">Прогноз поступления в федеральный бюдже налога на прибыль организаций на 2018 год </t>
  </si>
  <si>
    <t>показатели</t>
  </si>
  <si>
    <t xml:space="preserve">ВРП </t>
  </si>
  <si>
    <t>темп</t>
  </si>
  <si>
    <t>реальный темп ВРП</t>
  </si>
  <si>
    <t>Налоговая база по УФНС</t>
  </si>
  <si>
    <t>Долябазы в ВРП</t>
  </si>
  <si>
    <t>Убыток уменьшающий налоговую базу</t>
  </si>
  <si>
    <t>Доля Убытка в налоовой базе</t>
  </si>
  <si>
    <t xml:space="preserve">Налоговаябаза </t>
  </si>
  <si>
    <t>Сумма налога в ФБ</t>
  </si>
  <si>
    <t xml:space="preserve">Квартальная сумма </t>
  </si>
  <si>
    <t>Поступило дивидендов</t>
  </si>
  <si>
    <t>Доля дивидендов в налоговой базе</t>
  </si>
  <si>
    <t>Поступило ГМБ</t>
  </si>
  <si>
    <t>доля ГМБ в налоговой базе</t>
  </si>
  <si>
    <t xml:space="preserve">Поступило от постоянных представительств инстранных организаций </t>
  </si>
  <si>
    <t>Доля в налоговой базе</t>
  </si>
  <si>
    <t>ИТОГО На 2018</t>
  </si>
  <si>
    <t>Поступило за 1 полугодие 2018</t>
  </si>
  <si>
    <t>Прогноз на 2 полугодие 2018</t>
  </si>
  <si>
    <t xml:space="preserve">Прогноз на 3 квартал </t>
  </si>
  <si>
    <t xml:space="preserve">выпадающие доходы </t>
  </si>
  <si>
    <t>по среднему темпу</t>
  </si>
  <si>
    <t>тыс. рублей</t>
  </si>
  <si>
    <t>Факт 2018</t>
  </si>
  <si>
    <t>Факт 2019</t>
  </si>
  <si>
    <t>НДФЛ 1</t>
  </si>
  <si>
    <t>НДФЛ 2</t>
  </si>
  <si>
    <t>НДФЛ 3</t>
  </si>
  <si>
    <t>НДФЛ 4</t>
  </si>
  <si>
    <t>НДФЛ 5</t>
  </si>
  <si>
    <t>КБК</t>
  </si>
  <si>
    <t>182 101 02020 01 0000 110</t>
  </si>
  <si>
    <t>182 101 02030 01 0000 110</t>
  </si>
  <si>
    <t>182 101 02040 01 0000 110</t>
  </si>
  <si>
    <t>182 101 02050 01 0000 110</t>
  </si>
  <si>
    <t>объем поступлений по налогу на доходы физических лиц с доходов, источником которых является налоговый агент</t>
  </si>
  <si>
    <t>объем поступлений по налогу на доходы физических лиц с доходов, полученных физическими лицами, зарегистрированными в качестве индивидуальных предпринимателей, нотариусов, адвокатов и других лиц, занимающихся частной практикой в соответствии со статьей 227 НК РФ</t>
  </si>
  <si>
    <t>объём поступлений по налогу на доходы физических лиц с доходов, полученных физическими лицами в соответствии со статьей 228 НК РФ</t>
  </si>
  <si>
    <t>объём поступлений по налогу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</si>
  <si>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Источник исходных данных</t>
  </si>
  <si>
    <t>общая сумма доходов, принимаемая налоговыми агентами для расчета налоговой базы</t>
  </si>
  <si>
    <t>сумма налоговых вычетов</t>
  </si>
  <si>
    <t>коэффициент, характеризующий динамику налоговых вычетов в зависимости от изменения законодательства и других факторов</t>
  </si>
  <si>
    <t xml:space="preserve">ставка налога </t>
  </si>
  <si>
    <t>Налоговый кодекс Российской Федерации</t>
  </si>
  <si>
    <t>(n – 13%, 30%, 35%, 15%)</t>
  </si>
  <si>
    <t xml:space="preserve">коэффициент, характеризующий долю уплаченного налога в исчисленной сумме налога </t>
  </si>
  <si>
    <t>1-НМ, 5-НДФЛ</t>
  </si>
  <si>
    <t>Сумма налога исчисленная по 5-НДФЛ</t>
  </si>
  <si>
    <t>Сумма налога перечисленная по 5-НДФЛ</t>
  </si>
  <si>
    <t>2019 год</t>
  </si>
  <si>
    <t>НДФЛ расчет</t>
  </si>
  <si>
    <t>НДФЛ по 1-НМ</t>
  </si>
  <si>
    <t>Расчет</t>
  </si>
  <si>
    <t>Показатель</t>
  </si>
  <si>
    <t>ИТОГО НДФЛ</t>
  </si>
  <si>
    <t>2020 год</t>
  </si>
  <si>
    <t>2018 год</t>
  </si>
  <si>
    <t>%%</t>
  </si>
  <si>
    <t>Средний %%</t>
  </si>
  <si>
    <t>ФОТ</t>
  </si>
  <si>
    <t>2021 год</t>
  </si>
  <si>
    <t>Поступило налога</t>
  </si>
  <si>
    <t>1-НМ</t>
  </si>
  <si>
    <t>Темп роста ФОТ</t>
  </si>
  <si>
    <t>Расчет НДФЛ (2.3.4.5 по Методике)</t>
  </si>
  <si>
    <t>5-НДФЛ, стр 2040</t>
  </si>
  <si>
    <t>5-НДФЛ, стр 2060</t>
  </si>
  <si>
    <t>5-НДФЛ, гр. стр. 2020</t>
  </si>
  <si>
    <t>1-ДДК, 5-НДФЛ стр 2020-стр 2030</t>
  </si>
  <si>
    <t>Сумма НДФЛ, поступающего в краевой бюджет</t>
  </si>
  <si>
    <t>Доля поступления в Краевой бюджет, %</t>
  </si>
  <si>
    <t>Поступления по разовым сделкам</t>
  </si>
  <si>
    <t>Факт 2020</t>
  </si>
  <si>
    <t>1-НМ, стр 1130</t>
  </si>
  <si>
    <t>1-НМ, стр 1140</t>
  </si>
  <si>
    <t>без учета разовой сделки 2019 года 
17 785 200 тыс. рублей (возмещение 2 632 972 тыс. рублей)</t>
  </si>
  <si>
    <t>Сумма НДФЛ, поступающего в местный  бюджет</t>
  </si>
  <si>
    <t>НДФЛ 8</t>
  </si>
  <si>
    <t>НДФЛ 9</t>
  </si>
  <si>
    <t>НДФЛ 10</t>
  </si>
  <si>
    <t>НДФЛ 11</t>
  </si>
  <si>
    <t>Налог на доходы физических лиц в части суммы налога,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</si>
  <si>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не превышающей 650000 рублей)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</si>
  <si>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650000 рублей)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</si>
  <si>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650000 рублей)</t>
  </si>
  <si>
    <t>182 101 02080 01 0000 110</t>
  </si>
  <si>
    <t>182 101 02090 01 0000 110</t>
  </si>
  <si>
    <t>182 101 02100 01 0000 110</t>
  </si>
  <si>
    <t>182 101 02110 01 0000 110</t>
  </si>
  <si>
    <t xml:space="preserve">уплата налога с доходов, полученных от осуществления деятельности физическими лицами, зарегистрированными в качестве индивидуальных предпринимателей в соответствии со статьей 227 НК РФ ИП </t>
  </si>
  <si>
    <t>уплата налога с доходов, полученных физическими лицами в соответствии со статьей 228 НК РФ</t>
  </si>
  <si>
    <t>уплата налога 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</si>
  <si>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объём поступлений по налогу на доходы физических лиц с иностранных граждан, осуществляющих трудовую деятельность по найму на основании патента</t>
  </si>
  <si>
    <t>Погрешность прогнозирования</t>
  </si>
  <si>
    <t>НДФЛ с погрешностью</t>
  </si>
  <si>
    <t>НДФЛ всего, поступающий в местный  бюджет, тыс. руб.</t>
  </si>
  <si>
    <t>ФАКТ 2021</t>
  </si>
  <si>
    <t>2021 минус разовые</t>
  </si>
  <si>
    <t>Поступления всвязи с переходом налогоплтельщиков на общую систему налогообложения и поступления по разовым сделкам</t>
  </si>
  <si>
    <t>Поступлаения за счет уточнения платежей и перехода платежей с КБК 202</t>
  </si>
  <si>
    <t>Уточнение п/п 2021г на КБК 182 101 02080 01 0000 110 и платежи на 208 КБК</t>
  </si>
  <si>
    <t>Выплата дивидендов</t>
  </si>
  <si>
    <t>Дополнительные поступления за счет роста коэффициентов</t>
  </si>
  <si>
    <t>подъем на ЕНС</t>
  </si>
  <si>
    <t>182 101 02130 01 0000 110</t>
  </si>
  <si>
    <t>182 101 02140 01 0000 110</t>
  </si>
  <si>
    <t>НДФЛ 13</t>
  </si>
  <si>
    <t>НДФЛ 14</t>
  </si>
  <si>
    <t>сумма дохода, начисленная в виде дивидендов (руб.)</t>
  </si>
  <si>
    <t>7-НДФЛ  1070</t>
  </si>
  <si>
    <t>темп роста прибыли прибыльных организаций</t>
  </si>
  <si>
    <t>ставка налога</t>
  </si>
  <si>
    <t>разовые выплваты дивидендов</t>
  </si>
  <si>
    <t>Разовые поступления</t>
  </si>
  <si>
    <t>сумма налога, исчисленная с доходов в виде дивидендов (руб.)</t>
  </si>
  <si>
    <t>7-НДФЛ  1100</t>
  </si>
  <si>
    <t>Доля поступлений в местный бюджет в 2023г</t>
  </si>
  <si>
    <t>F – корректирующая сумма поступлений</t>
  </si>
  <si>
    <t>2023г для расчета доли (без учета подъемов переплаты)</t>
  </si>
  <si>
    <t>по 2023 г (без учета подъема переплаты)</t>
  </si>
  <si>
    <t>Расчет на 2024 год по Методике</t>
  </si>
  <si>
    <t>рост суммы исчисленного налога</t>
  </si>
  <si>
    <t>Расчет дополнительных поступлений по НДФЛ 4</t>
  </si>
  <si>
    <t>Темп 1кв2024 к 1кв2023, %</t>
  </si>
  <si>
    <t>факт на 31.12.2023</t>
  </si>
  <si>
    <t>3=гр.2/гр.1*100</t>
  </si>
  <si>
    <t>6=гр.5/гр.4*100</t>
  </si>
  <si>
    <t>7=</t>
  </si>
  <si>
    <t>человек</t>
  </si>
  <si>
    <t>Наименование разреза</t>
  </si>
  <si>
    <t>рост численности в январе 2024 к январю 2023</t>
  </si>
  <si>
    <r>
      <t>Номинальная начисленная средняя зарплата (оценка), рублей (</t>
    </r>
    <r>
      <rPr>
        <b/>
        <sz val="11"/>
        <color theme="1"/>
        <rFont val="Calibri"/>
        <family val="2"/>
        <charset val="204"/>
        <scheme val="minor"/>
      </rPr>
      <t>источник данных - основные показатели социально-экономического развития Краснодарского края за январь 2024 по данным Министерства экономик Краснодарского края)</t>
    </r>
  </si>
  <si>
    <t>количество периодов (месяцев) в 2024</t>
  </si>
  <si>
    <t>прирост за год за счет роста численности работников, тыс. рублей</t>
  </si>
  <si>
    <t>периода с начала отчетного года в % к соответствующему периоду с начала прошлого года</t>
  </si>
  <si>
    <t>А</t>
  </si>
  <si>
    <t>9=гр.4-гр.3</t>
  </si>
  <si>
    <t>12=гр.9*гр.10*гр.11/1000</t>
  </si>
  <si>
    <t>г. Краснодар</t>
  </si>
  <si>
    <t xml:space="preserve">в том числе поступления по разовым сделкам </t>
  </si>
  <si>
    <t>подъем на ЕНС переплаты на 01.11.2023 (по данным ФНС)</t>
  </si>
  <si>
    <t xml:space="preserve">коэффициент, характеризующий динамику фонда заработной платы </t>
  </si>
  <si>
    <t>фактор F - дополнительные поступления за счет роста численности работников</t>
  </si>
  <si>
    <t>расчет во вкладке - Краснодарстат Труд 15</t>
  </si>
  <si>
    <t xml:space="preserve">За январь-февраль 2024 года </t>
  </si>
  <si>
    <t>Дополнительные поступления к расчету на 2024 год по Методике с учетом темпа 110.0%</t>
  </si>
  <si>
    <t>Расчет на 2024 год по Методике с учетом темпа 110.0%</t>
  </si>
  <si>
    <t>темп роста</t>
  </si>
  <si>
    <t>фактор F -  рост премиальных выплат</t>
  </si>
  <si>
    <t xml:space="preserve">Среднесписочная численность работников (по даннам Министерства экономики Краснодарского края) </t>
  </si>
  <si>
    <t>Темп роста фонда оплаты труда - Основыные показатели предварительного варианта прогноза социально-экономического развития МО г. Краснодар на 2024г и плановый период до 2027 года</t>
  </si>
  <si>
    <t>факт на 31.07.2024</t>
  </si>
  <si>
    <t>факт на 31.07.2023</t>
  </si>
  <si>
    <t>Фактические поступления по данным справки WR: на 31.07.2024 - 1 029 349 тыс. рублей, на 31.07.2023 -732949 тыс. рублей. на 31.12.2023 - 1 284 529 тыс. рублей;  
сумма налога, рассчитанная в соответсвии с Методикой (1 403 990 тыс. рублей - вкладка "Налоговая ставка" НДФЛ4).</t>
  </si>
  <si>
    <t>Дополнительные поступления за счет опережающего темпа роста за 7 месяца 2024 года (140.4%) к расчетному темпу по Методике (109.3%)</t>
  </si>
  <si>
    <t>Разница между суммой фактических поступлений на 31.07.2024 (1 316 193 тыс. рублей),начислениями по сроку уплаты 02.08.2024 (по данным деклараций 3-НДФЛ, представленных на .05.2024 - 1 267 786 тыс. рублей) и суммой налога, рассчитанного в соответсвии с Методикой (1 029 972 тыс. рублей)</t>
  </si>
  <si>
    <t>Фактические поступления на 31.07.2024 (1 316 193 тыс. рублей - данные справки WR),  начисления по сроку уплаты 15.07.2024 (по данным деклараций 3-НДФЛ, представленных на 02.08.2024 - 1 267 786 тыс. рублей - Экспедитор данных); сумма налога, рассчитанная в соответсвии с Методикой (1 029 972  тыс. рублей - вкладка "Налоговая ставка" НДФЛ3)</t>
  </si>
  <si>
    <t>сумма начисления налога по расчету за 2023г составляет 3 785 тыс. рублей</t>
  </si>
  <si>
    <t>Погашение задолженности</t>
  </si>
  <si>
    <t>на 01.01.2024</t>
  </si>
  <si>
    <t>на 01.06.2024</t>
  </si>
  <si>
    <t>сумма налога</t>
  </si>
  <si>
    <t>Основыные показатели предварительного варианта прогноза социально-экономического развития МО г. Краснодар на 2024г и плановый период до 2027 года</t>
  </si>
  <si>
    <t>Расчёт прогнозных доходов по налогу на доходы физических лиц (НДФЛ) на 2025-2027 годы</t>
  </si>
  <si>
    <t>1-НМ, с корректировкой на поступления по разовым сделкам</t>
  </si>
  <si>
    <t>*Расчёт подготовлен по данным главного администратора доходов местного бюджета.</t>
  </si>
  <si>
    <t>Директор департамента финансов администрации                                 муниципального образования город Краснодар</t>
  </si>
  <si>
    <t>А.С.Чулков</t>
  </si>
  <si>
    <t>1.</t>
  </si>
  <si>
    <t>4.</t>
  </si>
  <si>
    <t>3.</t>
  </si>
  <si>
    <t>2.</t>
  </si>
  <si>
    <t>9.</t>
  </si>
  <si>
    <t>5.</t>
  </si>
  <si>
    <t>7.</t>
  </si>
  <si>
    <t>6.</t>
  </si>
  <si>
    <t>8.</t>
  </si>
  <si>
    <t>10.</t>
  </si>
  <si>
    <t>11.</t>
  </si>
  <si>
    <t>12.</t>
  </si>
  <si>
    <t>13.</t>
  </si>
  <si>
    <t>14.</t>
  </si>
  <si>
    <t>15.</t>
  </si>
  <si>
    <t>Расчётный (прогнозируемый) доход местного бюджета по НДФЛ*</t>
  </si>
  <si>
    <t>16.</t>
  </si>
  <si>
    <t>Факт                        2022 год</t>
  </si>
  <si>
    <t>Оценка                          2024 год</t>
  </si>
  <si>
    <t>Прогноз                        2025 год</t>
  </si>
  <si>
    <t>Прогноз                        2026 год</t>
  </si>
  <si>
    <t>Прогноз                           2027 год</t>
  </si>
  <si>
    <t>Факт                   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</si>
</sst>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#,##0.000"/>
    <numFmt numFmtId="169" formatCode="_-* #,##0.0\ _₽_-;\-* #,##0.0\ _₽_-;_-* &quot;-&quot;??\ _₽_-;_-@_-"/>
    <numFmt numFmtId="170" formatCode="0.0%"/>
    <numFmt numFmtId="171" formatCode="0.000000000"/>
  </numFmts>
  <fonts count="5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8"/>
      <color theme="1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3.5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0"/>
      <name val="Arial Cyr"/>
    </font>
    <font>
      <sz val="10"/>
      <color indexed="8"/>
      <name val="Times New Roman"/>
      <family val="1"/>
    </font>
    <font>
      <sz val="11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i/>
      <sz val="1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i/>
      <sz val="2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</cellStyleXfs>
  <cellXfs count="297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center" vertical="center"/>
    </xf>
    <xf numFmtId="3" fontId="2" fillId="0" borderId="3" xfId="0" applyNumberFormat="1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3" fontId="2" fillId="0" borderId="7" xfId="0" applyNumberFormat="1" applyFont="1" applyBorder="1"/>
    <xf numFmtId="3" fontId="2" fillId="0" borderId="8" xfId="0" applyNumberFormat="1" applyFont="1" applyBorder="1"/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166" fontId="2" fillId="0" borderId="1" xfId="0" applyNumberFormat="1" applyFont="1" applyBorder="1"/>
    <xf numFmtId="166" fontId="2" fillId="0" borderId="8" xfId="0" applyNumberFormat="1" applyFont="1" applyBorder="1"/>
    <xf numFmtId="0" fontId="2" fillId="2" borderId="1" xfId="0" applyFont="1" applyFill="1" applyBorder="1" applyAlignment="1">
      <alignment wrapText="1"/>
    </xf>
    <xf numFmtId="3" fontId="2" fillId="2" borderId="1" xfId="0" applyNumberFormat="1" applyFont="1" applyFill="1" applyBorder="1"/>
    <xf numFmtId="3" fontId="2" fillId="2" borderId="8" xfId="0" applyNumberFormat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166" fontId="4" fillId="2" borderId="1" xfId="0" applyNumberFormat="1" applyFont="1" applyFill="1" applyBorder="1"/>
    <xf numFmtId="4" fontId="2" fillId="0" borderId="1" xfId="0" applyNumberFormat="1" applyFont="1" applyBorder="1"/>
    <xf numFmtId="167" fontId="2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8" xfId="0" applyNumberFormat="1" applyFont="1" applyBorder="1"/>
    <xf numFmtId="0" fontId="1" fillId="0" borderId="0" xfId="0" applyFont="1"/>
    <xf numFmtId="166" fontId="4" fillId="2" borderId="8" xfId="0" applyNumberFormat="1" applyFont="1" applyFill="1" applyBorder="1"/>
    <xf numFmtId="3" fontId="0" fillId="0" borderId="0" xfId="0" applyNumberFormat="1"/>
    <xf numFmtId="4" fontId="2" fillId="0" borderId="8" xfId="0" applyNumberFormat="1" applyFont="1" applyBorder="1"/>
    <xf numFmtId="3" fontId="3" fillId="2" borderId="8" xfId="0" applyNumberFormat="1" applyFont="1" applyFill="1" applyBorder="1"/>
    <xf numFmtId="3" fontId="4" fillId="2" borderId="1" xfId="0" applyNumberFormat="1" applyFont="1" applyFill="1" applyBorder="1" applyAlignment="1">
      <alignment wrapText="1"/>
    </xf>
    <xf numFmtId="167" fontId="4" fillId="2" borderId="1" xfId="0" applyNumberFormat="1" applyFont="1" applyFill="1" applyBorder="1"/>
    <xf numFmtId="0" fontId="2" fillId="0" borderId="9" xfId="0" applyFont="1" applyBorder="1"/>
    <xf numFmtId="3" fontId="2" fillId="0" borderId="10" xfId="0" applyNumberFormat="1" applyFont="1" applyBorder="1"/>
    <xf numFmtId="0" fontId="2" fillId="0" borderId="11" xfId="0" applyFont="1" applyBorder="1"/>
    <xf numFmtId="166" fontId="2" fillId="0" borderId="12" xfId="0" applyNumberFormat="1" applyFont="1" applyBorder="1"/>
    <xf numFmtId="0" fontId="3" fillId="0" borderId="11" xfId="0" applyFont="1" applyBorder="1"/>
    <xf numFmtId="3" fontId="3" fillId="0" borderId="12" xfId="0" applyNumberFormat="1" applyFont="1" applyBorder="1"/>
    <xf numFmtId="0" fontId="4" fillId="2" borderId="11" xfId="0" applyFont="1" applyFill="1" applyBorder="1"/>
    <xf numFmtId="166" fontId="4" fillId="2" borderId="12" xfId="0" applyNumberFormat="1" applyFont="1" applyFill="1" applyBorder="1"/>
    <xf numFmtId="3" fontId="2" fillId="0" borderId="12" xfId="0" applyNumberFormat="1" applyFont="1" applyBorder="1"/>
    <xf numFmtId="4" fontId="2" fillId="0" borderId="12" xfId="0" applyNumberFormat="1" applyFont="1" applyBorder="1"/>
    <xf numFmtId="0" fontId="2" fillId="2" borderId="11" xfId="0" applyFont="1" applyFill="1" applyBorder="1"/>
    <xf numFmtId="3" fontId="2" fillId="2" borderId="12" xfId="0" applyNumberFormat="1" applyFont="1" applyFill="1" applyBorder="1"/>
    <xf numFmtId="167" fontId="2" fillId="0" borderId="12" xfId="0" applyNumberFormat="1" applyFont="1" applyBorder="1"/>
    <xf numFmtId="3" fontId="4" fillId="2" borderId="11" xfId="0" applyNumberFormat="1" applyFont="1" applyFill="1" applyBorder="1" applyAlignment="1">
      <alignment wrapText="1"/>
    </xf>
    <xf numFmtId="3" fontId="4" fillId="2" borderId="12" xfId="0" applyNumberFormat="1" applyFont="1" applyFill="1" applyBorder="1" applyAlignment="1">
      <alignment wrapText="1"/>
    </xf>
    <xf numFmtId="0" fontId="4" fillId="2" borderId="12" xfId="0" applyFont="1" applyFill="1" applyBorder="1"/>
    <xf numFmtId="0" fontId="2" fillId="0" borderId="13" xfId="0" applyFont="1" applyBorder="1"/>
    <xf numFmtId="0" fontId="2" fillId="0" borderId="14" xfId="0" applyFont="1" applyBorder="1"/>
    <xf numFmtId="166" fontId="2" fillId="0" borderId="14" xfId="0" applyNumberFormat="1" applyFont="1" applyBorder="1"/>
    <xf numFmtId="166" fontId="2" fillId="0" borderId="15" xfId="0" applyNumberFormat="1" applyFont="1" applyBorder="1"/>
    <xf numFmtId="0" fontId="4" fillId="0" borderId="11" xfId="0" applyFont="1" applyBorder="1"/>
    <xf numFmtId="0" fontId="4" fillId="0" borderId="1" xfId="0" applyFont="1" applyBorder="1" applyAlignment="1">
      <alignment wrapText="1"/>
    </xf>
    <xf numFmtId="3" fontId="4" fillId="0" borderId="1" xfId="0" applyNumberFormat="1" applyFont="1" applyBorder="1"/>
    <xf numFmtId="3" fontId="4" fillId="0" borderId="8" xfId="0" applyNumberFormat="1" applyFont="1" applyBorder="1"/>
    <xf numFmtId="3" fontId="4" fillId="0" borderId="12" xfId="0" applyNumberFormat="1" applyFont="1" applyBorder="1"/>
    <xf numFmtId="0" fontId="0" fillId="0" borderId="1" xfId="0" applyBorder="1"/>
    <xf numFmtId="0" fontId="1" fillId="0" borderId="1" xfId="0" applyFont="1" applyBorder="1"/>
    <xf numFmtId="2" fontId="2" fillId="0" borderId="1" xfId="0" applyNumberFormat="1" applyFont="1" applyBorder="1" applyAlignment="1">
      <alignment wrapText="1"/>
    </xf>
    <xf numFmtId="0" fontId="2" fillId="0" borderId="8" xfId="0" applyFont="1" applyBorder="1"/>
    <xf numFmtId="3" fontId="2" fillId="0" borderId="8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wrapText="1"/>
    </xf>
    <xf numFmtId="3" fontId="0" fillId="0" borderId="1" xfId="0" applyNumberFormat="1" applyBorder="1"/>
    <xf numFmtId="3" fontId="0" fillId="0" borderId="1" xfId="0" applyNumberFormat="1" applyBorder="1" applyAlignment="1">
      <alignment wrapText="1"/>
    </xf>
    <xf numFmtId="166" fontId="3" fillId="0" borderId="1" xfId="0" applyNumberFormat="1" applyFont="1" applyBorder="1"/>
    <xf numFmtId="168" fontId="3" fillId="0" borderId="1" xfId="0" applyNumberFormat="1" applyFont="1" applyBorder="1"/>
    <xf numFmtId="167" fontId="0" fillId="0" borderId="1" xfId="0" applyNumberFormat="1" applyBorder="1" applyAlignment="1">
      <alignment wrapText="1"/>
    </xf>
    <xf numFmtId="167" fontId="0" fillId="0" borderId="0" xfId="0" applyNumberFormat="1"/>
    <xf numFmtId="0" fontId="2" fillId="0" borderId="1" xfId="0" applyNumberFormat="1" applyFont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3" fontId="6" fillId="2" borderId="1" xfId="0" applyNumberFormat="1" applyFont="1" applyFill="1" applyBorder="1"/>
    <xf numFmtId="3" fontId="4" fillId="2" borderId="1" xfId="0" applyNumberFormat="1" applyFont="1" applyFill="1" applyBorder="1"/>
    <xf numFmtId="4" fontId="4" fillId="2" borderId="1" xfId="0" applyNumberFormat="1" applyFont="1" applyFill="1" applyBorder="1"/>
    <xf numFmtId="167" fontId="4" fillId="2" borderId="1" xfId="0" applyNumberFormat="1" applyFont="1" applyFill="1" applyBorder="1" applyAlignment="1">
      <alignment wrapText="1"/>
    </xf>
    <xf numFmtId="166" fontId="6" fillId="2" borderId="1" xfId="0" applyNumberFormat="1" applyFont="1" applyFill="1" applyBorder="1"/>
    <xf numFmtId="168" fontId="2" fillId="0" borderId="1" xfId="0" applyNumberFormat="1" applyFont="1" applyBorder="1"/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3" fontId="3" fillId="3" borderId="1" xfId="0" applyNumberFormat="1" applyFont="1" applyFill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7" fontId="7" fillId="0" borderId="12" xfId="0" applyNumberFormat="1" applyFont="1" applyBorder="1"/>
    <xf numFmtId="167" fontId="7" fillId="2" borderId="12" xfId="0" applyNumberFormat="1" applyFont="1" applyFill="1" applyBorder="1"/>
    <xf numFmtId="167" fontId="7" fillId="3" borderId="12" xfId="0" applyNumberFormat="1" applyFont="1" applyFill="1" applyBorder="1"/>
    <xf numFmtId="167" fontId="8" fillId="3" borderId="12" xfId="0" applyNumberFormat="1" applyFont="1" applyFill="1" applyBorder="1"/>
    <xf numFmtId="167" fontId="8" fillId="0" borderId="12" xfId="0" applyNumberFormat="1" applyFont="1" applyBorder="1"/>
    <xf numFmtId="0" fontId="7" fillId="0" borderId="19" xfId="0" applyFont="1" applyBorder="1"/>
    <xf numFmtId="0" fontId="0" fillId="0" borderId="9" xfId="0" applyBorder="1"/>
    <xf numFmtId="0" fontId="2" fillId="0" borderId="3" xfId="0" applyFont="1" applyBorder="1"/>
    <xf numFmtId="3" fontId="2" fillId="0" borderId="3" xfId="0" applyNumberFormat="1" applyFont="1" applyBorder="1" applyAlignment="1">
      <alignment wrapText="1"/>
    </xf>
    <xf numFmtId="167" fontId="7" fillId="0" borderId="10" xfId="0" applyNumberFormat="1" applyFont="1" applyBorder="1"/>
    <xf numFmtId="0" fontId="0" fillId="0" borderId="10" xfId="0" applyBorder="1"/>
    <xf numFmtId="0" fontId="0" fillId="0" borderId="21" xfId="0" applyBorder="1"/>
    <xf numFmtId="0" fontId="0" fillId="0" borderId="4" xfId="0" applyBorder="1"/>
    <xf numFmtId="2" fontId="3" fillId="0" borderId="5" xfId="0" applyNumberFormat="1" applyFont="1" applyBorder="1" applyAlignment="1">
      <alignment wrapText="1"/>
    </xf>
    <xf numFmtId="0" fontId="6" fillId="0" borderId="2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9" fillId="0" borderId="0" xfId="0" applyFont="1"/>
    <xf numFmtId="3" fontId="2" fillId="0" borderId="11" xfId="0" applyNumberFormat="1" applyFont="1" applyBorder="1"/>
    <xf numFmtId="3" fontId="2" fillId="0" borderId="17" xfId="0" applyNumberFormat="1" applyFont="1" applyBorder="1"/>
    <xf numFmtId="3" fontId="2" fillId="0" borderId="19" xfId="0" applyNumberFormat="1" applyFont="1" applyBorder="1"/>
    <xf numFmtId="1" fontId="0" fillId="0" borderId="0" xfId="0" applyNumberFormat="1"/>
    <xf numFmtId="167" fontId="0" fillId="0" borderId="11" xfId="0" applyNumberFormat="1" applyBorder="1"/>
    <xf numFmtId="3" fontId="1" fillId="0" borderId="0" xfId="0" applyNumberFormat="1" applyFont="1"/>
    <xf numFmtId="3" fontId="2" fillId="0" borderId="9" xfId="0" applyNumberFormat="1" applyFont="1" applyBorder="1"/>
    <xf numFmtId="166" fontId="2" fillId="0" borderId="11" xfId="0" applyNumberFormat="1" applyFont="1" applyBorder="1"/>
    <xf numFmtId="166" fontId="2" fillId="0" borderId="10" xfId="0" applyNumberFormat="1" applyFont="1" applyBorder="1"/>
    <xf numFmtId="1" fontId="3" fillId="0" borderId="1" xfId="0" applyNumberFormat="1" applyFont="1" applyBorder="1"/>
    <xf numFmtId="3" fontId="10" fillId="0" borderId="1" xfId="0" applyNumberFormat="1" applyFont="1" applyBorder="1"/>
    <xf numFmtId="167" fontId="2" fillId="0" borderId="10" xfId="0" applyNumberFormat="1" applyFont="1" applyBorder="1"/>
    <xf numFmtId="0" fontId="2" fillId="2" borderId="1" xfId="0" applyFont="1" applyFill="1" applyBorder="1"/>
    <xf numFmtId="167" fontId="2" fillId="2" borderId="1" xfId="0" applyNumberFormat="1" applyFont="1" applyFill="1" applyBorder="1"/>
    <xf numFmtId="3" fontId="11" fillId="0" borderId="1" xfId="0" applyNumberFormat="1" applyFont="1" applyBorder="1"/>
    <xf numFmtId="3" fontId="11" fillId="0" borderId="0" xfId="0" applyNumberFormat="1" applyFont="1"/>
    <xf numFmtId="3" fontId="12" fillId="0" borderId="0" xfId="0" applyNumberFormat="1" applyFont="1"/>
    <xf numFmtId="3" fontId="2" fillId="0" borderId="21" xfId="0" applyNumberFormat="1" applyFont="1" applyBorder="1"/>
    <xf numFmtId="3" fontId="2" fillId="0" borderId="20" xfId="0" applyNumberFormat="1" applyFont="1" applyBorder="1"/>
    <xf numFmtId="3" fontId="2" fillId="0" borderId="18" xfId="0" applyNumberFormat="1" applyFont="1" applyBorder="1"/>
    <xf numFmtId="0" fontId="6" fillId="0" borderId="6" xfId="0" applyFont="1" applyBorder="1" applyAlignment="1">
      <alignment horizontal="center" vertical="center" wrapText="1"/>
    </xf>
    <xf numFmtId="3" fontId="3" fillId="2" borderId="0" xfId="0" applyNumberFormat="1" applyFont="1" applyFill="1"/>
    <xf numFmtId="0" fontId="3" fillId="0" borderId="0" xfId="0" applyFont="1"/>
    <xf numFmtId="3" fontId="3" fillId="0" borderId="0" xfId="0" applyNumberFormat="1" applyFont="1"/>
    <xf numFmtId="167" fontId="3" fillId="0" borderId="0" xfId="0" applyNumberFormat="1" applyFont="1"/>
    <xf numFmtId="0" fontId="14" fillId="0" borderId="0" xfId="0" applyFont="1"/>
    <xf numFmtId="0" fontId="15" fillId="0" borderId="0" xfId="0" applyFont="1"/>
    <xf numFmtId="3" fontId="15" fillId="0" borderId="1" xfId="0" applyNumberFormat="1" applyFont="1" applyBorder="1" applyAlignment="1">
      <alignment wrapText="1"/>
    </xf>
    <xf numFmtId="3" fontId="15" fillId="2" borderId="1" xfId="0" applyNumberFormat="1" applyFont="1" applyFill="1" applyBorder="1" applyAlignment="1">
      <alignment wrapText="1"/>
    </xf>
    <xf numFmtId="3" fontId="15" fillId="0" borderId="3" xfId="0" applyNumberFormat="1" applyFont="1" applyBorder="1" applyAlignment="1">
      <alignment wrapText="1"/>
    </xf>
    <xf numFmtId="166" fontId="15" fillId="0" borderId="1" xfId="0" applyNumberFormat="1" applyFont="1" applyBorder="1" applyAlignment="1">
      <alignment wrapText="1"/>
    </xf>
    <xf numFmtId="166" fontId="15" fillId="2" borderId="1" xfId="0" applyNumberFormat="1" applyFont="1" applyFill="1" applyBorder="1" applyAlignment="1">
      <alignment wrapText="1"/>
    </xf>
    <xf numFmtId="4" fontId="15" fillId="0" borderId="1" xfId="0" applyNumberFormat="1" applyFont="1" applyBorder="1" applyAlignment="1">
      <alignment wrapText="1"/>
    </xf>
    <xf numFmtId="4" fontId="15" fillId="2" borderId="1" xfId="0" applyNumberFormat="1" applyFont="1" applyFill="1" applyBorder="1" applyAlignment="1">
      <alignment wrapText="1"/>
    </xf>
    <xf numFmtId="168" fontId="15" fillId="0" borderId="1" xfId="0" applyNumberFormat="1" applyFont="1" applyBorder="1" applyAlignment="1">
      <alignment wrapText="1"/>
    </xf>
    <xf numFmtId="168" fontId="15" fillId="2" borderId="1" xfId="0" applyNumberFormat="1" applyFont="1" applyFill="1" applyBorder="1" applyAlignment="1">
      <alignment wrapText="1"/>
    </xf>
    <xf numFmtId="0" fontId="15" fillId="0" borderId="1" xfId="0" applyFont="1" applyBorder="1"/>
    <xf numFmtId="3" fontId="14" fillId="2" borderId="1" xfId="0" applyNumberFormat="1" applyFont="1" applyFill="1" applyBorder="1"/>
    <xf numFmtId="0" fontId="15" fillId="2" borderId="1" xfId="0" applyFont="1" applyFill="1" applyBorder="1"/>
    <xf numFmtId="3" fontId="15" fillId="0" borderId="1" xfId="0" applyNumberFormat="1" applyFont="1" applyBorder="1"/>
    <xf numFmtId="169" fontId="15" fillId="0" borderId="0" xfId="1" applyNumberFormat="1" applyFont="1"/>
    <xf numFmtId="3" fontId="15" fillId="0" borderId="0" xfId="0" applyNumberFormat="1" applyFont="1"/>
    <xf numFmtId="3" fontId="14" fillId="0" borderId="0" xfId="0" applyNumberFormat="1" applyFont="1"/>
    <xf numFmtId="3" fontId="16" fillId="2" borderId="1" xfId="0" applyNumberFormat="1" applyFont="1" applyFill="1" applyBorder="1"/>
    <xf numFmtId="0" fontId="0" fillId="0" borderId="0" xfId="0" applyFill="1"/>
    <xf numFmtId="0" fontId="25" fillId="0" borderId="0" xfId="0" applyFont="1"/>
    <xf numFmtId="0" fontId="25" fillId="0" borderId="1" xfId="0" applyFont="1" applyBorder="1"/>
    <xf numFmtId="166" fontId="28" fillId="0" borderId="1" xfId="0" applyNumberFormat="1" applyFont="1" applyFill="1" applyBorder="1" applyAlignment="1">
      <alignment horizontal="right" vertical="center" wrapText="1"/>
    </xf>
    <xf numFmtId="0" fontId="29" fillId="0" borderId="0" xfId="0" applyFont="1"/>
    <xf numFmtId="0" fontId="26" fillId="0" borderId="1" xfId="0" applyFont="1" applyFill="1" applyBorder="1" applyAlignment="1">
      <alignment horizontal="center" vertical="center"/>
    </xf>
    <xf numFmtId="170" fontId="25" fillId="0" borderId="1" xfId="0" applyNumberFormat="1" applyFont="1" applyBorder="1"/>
    <xf numFmtId="0" fontId="25" fillId="0" borderId="0" xfId="0" applyFont="1" applyAlignment="1">
      <alignment wrapText="1"/>
    </xf>
    <xf numFmtId="0" fontId="29" fillId="0" borderId="1" xfId="0" applyFont="1" applyBorder="1"/>
    <xf numFmtId="166" fontId="26" fillId="0" borderId="1" xfId="0" applyNumberFormat="1" applyFont="1" applyFill="1" applyBorder="1" applyAlignment="1">
      <alignment horizontal="right" vertical="center" wrapText="1"/>
    </xf>
    <xf numFmtId="170" fontId="29" fillId="0" borderId="1" xfId="0" applyNumberFormat="1" applyFont="1" applyBorder="1"/>
    <xf numFmtId="0" fontId="26" fillId="2" borderId="1" xfId="0" applyFont="1" applyFill="1" applyBorder="1" applyAlignment="1">
      <alignment horizontal="center" vertical="center"/>
    </xf>
    <xf numFmtId="170" fontId="25" fillId="2" borderId="1" xfId="0" applyNumberFormat="1" applyFont="1" applyFill="1" applyBorder="1"/>
    <xf numFmtId="0" fontId="26" fillId="4" borderId="1" xfId="0" applyFont="1" applyFill="1" applyBorder="1" applyAlignment="1">
      <alignment horizontal="center" vertical="center"/>
    </xf>
    <xf numFmtId="170" fontId="25" fillId="4" borderId="1" xfId="0" applyNumberFormat="1" applyFont="1" applyFill="1" applyBorder="1"/>
    <xf numFmtId="166" fontId="28" fillId="4" borderId="1" xfId="0" applyNumberFormat="1" applyFont="1" applyFill="1" applyBorder="1" applyAlignment="1">
      <alignment horizontal="right" vertical="center" wrapText="1"/>
    </xf>
    <xf numFmtId="0" fontId="25" fillId="4" borderId="1" xfId="0" applyFont="1" applyFill="1" applyBorder="1"/>
    <xf numFmtId="166" fontId="26" fillId="2" borderId="1" xfId="0" applyNumberFormat="1" applyFont="1" applyFill="1" applyBorder="1" applyAlignment="1">
      <alignment horizontal="right" vertical="center" wrapText="1"/>
    </xf>
    <xf numFmtId="170" fontId="29" fillId="2" borderId="1" xfId="0" applyNumberFormat="1" applyFont="1" applyFill="1" applyBorder="1"/>
    <xf numFmtId="166" fontId="27" fillId="0" borderId="1" xfId="0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center" vertical="center"/>
    </xf>
    <xf numFmtId="170" fontId="25" fillId="0" borderId="0" xfId="0" applyNumberFormat="1" applyFont="1"/>
    <xf numFmtId="3" fontId="25" fillId="0" borderId="1" xfId="0" applyNumberFormat="1" applyFont="1" applyBorder="1"/>
    <xf numFmtId="3" fontId="28" fillId="0" borderId="1" xfId="0" applyNumberFormat="1" applyFont="1" applyFill="1" applyBorder="1" applyAlignment="1">
      <alignment horizontal="right" vertical="center" wrapText="1"/>
    </xf>
    <xf numFmtId="166" fontId="25" fillId="0" borderId="0" xfId="0" applyNumberFormat="1" applyFont="1"/>
    <xf numFmtId="171" fontId="25" fillId="0" borderId="0" xfId="0" applyNumberFormat="1" applyFont="1"/>
    <xf numFmtId="1" fontId="25" fillId="0" borderId="0" xfId="0" applyNumberFormat="1" applyFont="1"/>
    <xf numFmtId="3" fontId="32" fillId="0" borderId="0" xfId="0" applyNumberFormat="1" applyFont="1"/>
    <xf numFmtId="0" fontId="19" fillId="0" borderId="0" xfId="0" applyNumberFormat="1" applyFont="1" applyFill="1" applyAlignment="1">
      <alignment horizontal="center" vertical="center" wrapText="1"/>
    </xf>
    <xf numFmtId="3" fontId="0" fillId="0" borderId="0" xfId="0" applyNumberFormat="1" applyBorder="1"/>
    <xf numFmtId="3" fontId="15" fillId="0" borderId="0" xfId="0" applyNumberFormat="1" applyFont="1" applyBorder="1" applyAlignment="1">
      <alignment wrapText="1"/>
    </xf>
    <xf numFmtId="3" fontId="18" fillId="0" borderId="0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/>
    </xf>
    <xf numFmtId="170" fontId="21" fillId="0" borderId="0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/>
    </xf>
    <xf numFmtId="10" fontId="21" fillId="0" borderId="0" xfId="0" applyNumberFormat="1" applyFont="1" applyFill="1" applyBorder="1" applyAlignment="1">
      <alignment horizontal="center" vertical="center"/>
    </xf>
    <xf numFmtId="170" fontId="22" fillId="0" borderId="0" xfId="0" applyNumberFormat="1" applyFont="1" applyFill="1" applyBorder="1" applyAlignment="1">
      <alignment horizontal="center" vertical="center"/>
    </xf>
    <xf numFmtId="167" fontId="32" fillId="0" borderId="0" xfId="0" applyNumberFormat="1" applyFont="1"/>
    <xf numFmtId="0" fontId="32" fillId="0" borderId="0" xfId="0" applyFont="1"/>
    <xf numFmtId="3" fontId="28" fillId="2" borderId="1" xfId="0" applyNumberFormat="1" applyFont="1" applyFill="1" applyBorder="1" applyAlignment="1">
      <alignment horizontal="right" vertical="center" wrapText="1"/>
    </xf>
    <xf numFmtId="3" fontId="33" fillId="0" borderId="0" xfId="0" applyNumberFormat="1" applyFont="1"/>
    <xf numFmtId="166" fontId="15" fillId="0" borderId="0" xfId="0" applyNumberFormat="1" applyFont="1"/>
    <xf numFmtId="3" fontId="0" fillId="0" borderId="0" xfId="0" applyNumberFormat="1" applyFill="1" applyBorder="1"/>
    <xf numFmtId="0" fontId="32" fillId="0" borderId="0" xfId="0" applyFont="1" applyFill="1"/>
    <xf numFmtId="0" fontId="26" fillId="0" borderId="1" xfId="0" applyFont="1" applyFill="1" applyBorder="1" applyAlignment="1">
      <alignment horizontal="center" vertical="center" wrapText="1"/>
    </xf>
    <xf numFmtId="3" fontId="25" fillId="0" borderId="0" xfId="0" applyNumberFormat="1" applyFont="1"/>
    <xf numFmtId="3" fontId="26" fillId="0" borderId="1" xfId="0" applyNumberFormat="1" applyFont="1" applyFill="1" applyBorder="1" applyAlignment="1">
      <alignment horizontal="center" vertical="center"/>
    </xf>
    <xf numFmtId="3" fontId="26" fillId="0" borderId="1" xfId="0" applyNumberFormat="1" applyFont="1" applyFill="1" applyBorder="1" applyAlignment="1">
      <alignment horizontal="right" vertical="center" wrapText="1"/>
    </xf>
    <xf numFmtId="3" fontId="29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/>
    <xf numFmtId="4" fontId="0" fillId="0" borderId="1" xfId="0" applyNumberFormat="1" applyBorder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3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167" fontId="0" fillId="0" borderId="1" xfId="0" quotePrefix="1" applyNumberFormat="1" applyFill="1" applyBorder="1" applyAlignment="1">
      <alignment vertical="top" wrapText="1"/>
    </xf>
    <xf numFmtId="3" fontId="0" fillId="0" borderId="1" xfId="0" applyNumberFormat="1" applyFill="1" applyBorder="1" applyAlignment="1">
      <alignment horizontal="center" vertical="top"/>
    </xf>
    <xf numFmtId="3" fontId="0" fillId="2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3" fontId="0" fillId="2" borderId="1" xfId="0" quotePrefix="1" applyNumberForma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3" fontId="38" fillId="0" borderId="1" xfId="0" applyNumberFormat="1" applyFont="1" applyBorder="1"/>
    <xf numFmtId="3" fontId="0" fillId="0" borderId="1" xfId="0" applyNumberFormat="1" applyFill="1" applyBorder="1"/>
    <xf numFmtId="0" fontId="37" fillId="0" borderId="20" xfId="0" applyFont="1" applyFill="1" applyBorder="1" applyAlignment="1">
      <alignment horizontal="center" vertical="center" wrapText="1"/>
    </xf>
    <xf numFmtId="164" fontId="0" fillId="0" borderId="0" xfId="1" applyFont="1"/>
    <xf numFmtId="0" fontId="40" fillId="0" borderId="0" xfId="0" applyFont="1" applyFill="1" applyAlignment="1">
      <alignment horizontal="right"/>
    </xf>
    <xf numFmtId="3" fontId="21" fillId="4" borderId="1" xfId="0" applyNumberFormat="1" applyFont="1" applyFill="1" applyBorder="1" applyAlignment="1">
      <alignment horizontal="center" vertical="center"/>
    </xf>
    <xf numFmtId="0" fontId="42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center" wrapText="1"/>
    </xf>
    <xf numFmtId="3" fontId="22" fillId="4" borderId="1" xfId="0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left" vertical="center" wrapText="1"/>
    </xf>
    <xf numFmtId="166" fontId="22" fillId="4" borderId="1" xfId="0" applyNumberFormat="1" applyFont="1" applyFill="1" applyBorder="1" applyAlignment="1">
      <alignment horizontal="center" vertical="center"/>
    </xf>
    <xf numFmtId="170" fontId="22" fillId="4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 wrapText="1"/>
    </xf>
    <xf numFmtId="3" fontId="21" fillId="4" borderId="1" xfId="0" applyNumberFormat="1" applyFont="1" applyFill="1" applyBorder="1" applyAlignment="1">
      <alignment horizontal="left" vertical="center" wrapText="1"/>
    </xf>
    <xf numFmtId="3" fontId="46" fillId="4" borderId="1" xfId="0" applyNumberFormat="1" applyFont="1" applyFill="1" applyBorder="1" applyAlignment="1">
      <alignment horizontal="center" vertical="center"/>
    </xf>
    <xf numFmtId="0" fontId="40" fillId="4" borderId="1" xfId="0" applyFont="1" applyFill="1" applyBorder="1" applyAlignment="1">
      <alignment horizontal="left" vertical="center" wrapText="1"/>
    </xf>
    <xf numFmtId="166" fontId="21" fillId="4" borderId="1" xfId="0" applyNumberFormat="1" applyFont="1" applyFill="1" applyBorder="1" applyAlignment="1">
      <alignment horizontal="center" vertical="center"/>
    </xf>
    <xf numFmtId="0" fontId="45" fillId="4" borderId="1" xfId="0" applyFont="1" applyFill="1" applyBorder="1"/>
    <xf numFmtId="170" fontId="21" fillId="4" borderId="1" xfId="0" applyNumberFormat="1" applyFont="1" applyFill="1" applyBorder="1" applyAlignment="1">
      <alignment horizontal="center" vertical="center"/>
    </xf>
    <xf numFmtId="0" fontId="24" fillId="4" borderId="1" xfId="0" applyFont="1" applyFill="1" applyBorder="1"/>
    <xf numFmtId="9" fontId="21" fillId="4" borderId="1" xfId="0" applyNumberFormat="1" applyFont="1" applyFill="1" applyBorder="1" applyAlignment="1">
      <alignment horizontal="center" vertical="center"/>
    </xf>
    <xf numFmtId="170" fontId="31" fillId="4" borderId="1" xfId="0" applyNumberFormat="1" applyFont="1" applyFill="1" applyBorder="1" applyAlignment="1">
      <alignment horizontal="center" vertical="center"/>
    </xf>
    <xf numFmtId="10" fontId="21" fillId="4" borderId="1" xfId="0" applyNumberFormat="1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vertical="center"/>
    </xf>
    <xf numFmtId="0" fontId="42" fillId="4" borderId="1" xfId="0" applyFont="1" applyFill="1" applyBorder="1" applyAlignment="1">
      <alignment horizontal="left" vertical="center" wrapText="1"/>
    </xf>
    <xf numFmtId="0" fontId="39" fillId="4" borderId="1" xfId="0" applyFont="1" applyFill="1" applyBorder="1"/>
    <xf numFmtId="0" fontId="34" fillId="4" borderId="1" xfId="0" applyFont="1" applyFill="1" applyBorder="1" applyAlignment="1">
      <alignment vertical="center" wrapText="1"/>
    </xf>
    <xf numFmtId="0" fontId="41" fillId="4" borderId="1" xfId="0" applyFont="1" applyFill="1" applyBorder="1"/>
    <xf numFmtId="166" fontId="31" fillId="4" borderId="1" xfId="0" applyNumberFormat="1" applyFont="1" applyFill="1" applyBorder="1" applyAlignment="1">
      <alignment horizontal="center" vertical="center"/>
    </xf>
    <xf numFmtId="3" fontId="31" fillId="4" borderId="1" xfId="0" applyNumberFormat="1" applyFont="1" applyFill="1" applyBorder="1" applyAlignment="1">
      <alignment horizontal="center" vertical="center"/>
    </xf>
    <xf numFmtId="3" fontId="40" fillId="4" borderId="1" xfId="0" applyNumberFormat="1" applyFont="1" applyFill="1" applyBorder="1" applyAlignment="1">
      <alignment horizontal="left" vertical="center" wrapText="1"/>
    </xf>
    <xf numFmtId="3" fontId="47" fillId="4" borderId="1" xfId="0" applyNumberFormat="1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vertical="center" wrapText="1"/>
    </xf>
    <xf numFmtId="0" fontId="39" fillId="4" borderId="1" xfId="0" applyFont="1" applyFill="1" applyBorder="1" applyAlignment="1">
      <alignment horizontal="left" vertical="center" wrapText="1"/>
    </xf>
    <xf numFmtId="0" fontId="43" fillId="4" borderId="1" xfId="0" applyFont="1" applyFill="1" applyBorder="1" applyAlignment="1">
      <alignment horizontal="left" vertical="center" wrapText="1"/>
    </xf>
    <xf numFmtId="0" fontId="34" fillId="4" borderId="1" xfId="0" applyFont="1" applyFill="1" applyBorder="1" applyAlignment="1">
      <alignment horizontal="center" vertical="center" wrapText="1"/>
    </xf>
    <xf numFmtId="166" fontId="46" fillId="4" borderId="1" xfId="0" applyNumberFormat="1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vertical="center"/>
    </xf>
    <xf numFmtId="166" fontId="23" fillId="4" borderId="1" xfId="0" applyNumberFormat="1" applyFont="1" applyFill="1" applyBorder="1" applyAlignment="1">
      <alignment horizontal="left" vertical="center"/>
    </xf>
    <xf numFmtId="0" fontId="42" fillId="4" borderId="1" xfId="0" applyFont="1" applyFill="1" applyBorder="1" applyAlignment="1">
      <alignment vertical="center"/>
    </xf>
    <xf numFmtId="0" fontId="43" fillId="4" borderId="1" xfId="0" applyFont="1" applyFill="1" applyBorder="1" applyAlignment="1">
      <alignment vertical="top" wrapText="1"/>
    </xf>
    <xf numFmtId="0" fontId="21" fillId="4" borderId="1" xfId="0" applyFont="1" applyFill="1" applyBorder="1" applyAlignment="1">
      <alignment vertical="top" wrapText="1"/>
    </xf>
    <xf numFmtId="166" fontId="42" fillId="4" borderId="1" xfId="0" applyNumberFormat="1" applyFont="1" applyFill="1" applyBorder="1" applyAlignment="1">
      <alignment horizontal="left" vertical="center" wrapText="1"/>
    </xf>
    <xf numFmtId="166" fontId="35" fillId="4" borderId="1" xfId="0" applyNumberFormat="1" applyFont="1" applyFill="1" applyBorder="1" applyAlignment="1">
      <alignment horizontal="center" vertical="center"/>
    </xf>
    <xf numFmtId="0" fontId="35" fillId="4" borderId="1" xfId="0" applyFont="1" applyFill="1" applyBorder="1"/>
    <xf numFmtId="49" fontId="21" fillId="4" borderId="1" xfId="0" applyNumberFormat="1" applyFont="1" applyFill="1" applyBorder="1" applyAlignment="1">
      <alignment horizontal="left" vertical="center" wrapText="1"/>
    </xf>
    <xf numFmtId="0" fontId="40" fillId="4" borderId="1" xfId="0" applyFont="1" applyFill="1" applyBorder="1"/>
    <xf numFmtId="0" fontId="21" fillId="4" borderId="1" xfId="0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 wrapText="1"/>
    </xf>
    <xf numFmtId="166" fontId="44" fillId="0" borderId="0" xfId="0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right" vertical="center"/>
    </xf>
    <xf numFmtId="166" fontId="49" fillId="4" borderId="0" xfId="0" applyNumberFormat="1" applyFont="1" applyFill="1" applyBorder="1" applyAlignment="1">
      <alignment horizontal="center" vertical="center"/>
    </xf>
    <xf numFmtId="166" fontId="44" fillId="0" borderId="0" xfId="0" applyNumberFormat="1" applyFont="1" applyFill="1" applyBorder="1" applyAlignment="1">
      <alignment horizontal="right" vertical="center"/>
    </xf>
    <xf numFmtId="0" fontId="44" fillId="0" borderId="0" xfId="0" applyFont="1" applyAlignment="1">
      <alignment horizontal="left" wrapText="1"/>
    </xf>
    <xf numFmtId="0" fontId="43" fillId="0" borderId="0" xfId="0" applyFont="1" applyFill="1" applyAlignment="1">
      <alignment horizontal="center"/>
    </xf>
    <xf numFmtId="0" fontId="44" fillId="0" borderId="0" xfId="0" applyFont="1" applyFill="1" applyAlignment="1">
      <alignment horizontal="center"/>
    </xf>
    <xf numFmtId="0" fontId="43" fillId="0" borderId="0" xfId="0" applyFont="1" applyAlignment="1">
      <alignment horizontal="left"/>
    </xf>
    <xf numFmtId="0" fontId="17" fillId="0" borderId="0" xfId="0" applyFont="1" applyFill="1" applyBorder="1" applyAlignment="1">
      <alignment horizontal="left" vertical="center" wrapText="1"/>
    </xf>
    <xf numFmtId="0" fontId="36" fillId="0" borderId="0" xfId="0" quotePrefix="1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3" fontId="50" fillId="0" borderId="1" xfId="0" applyNumberFormat="1" applyFont="1" applyFill="1" applyBorder="1" applyAlignment="1">
      <alignment horizontal="center" vertical="center" wrapText="1"/>
    </xf>
    <xf numFmtId="3" fontId="22" fillId="4" borderId="1" xfId="0" applyNumberFormat="1" applyFont="1" applyFill="1" applyBorder="1" applyAlignment="1">
      <alignment horizontal="center"/>
    </xf>
    <xf numFmtId="170" fontId="22" fillId="4" borderId="1" xfId="0" applyNumberFormat="1" applyFont="1" applyFill="1" applyBorder="1" applyAlignment="1">
      <alignment horizontal="center"/>
    </xf>
    <xf numFmtId="166" fontId="22" fillId="4" borderId="1" xfId="0" applyNumberFormat="1" applyFont="1" applyFill="1" applyBorder="1" applyAlignment="1">
      <alignment horizontal="center"/>
    </xf>
    <xf numFmtId="3" fontId="21" fillId="4" borderId="1" xfId="0" applyNumberFormat="1" applyFont="1" applyFill="1" applyBorder="1" applyAlignment="1">
      <alignment horizontal="center"/>
    </xf>
    <xf numFmtId="166" fontId="21" fillId="4" borderId="1" xfId="0" applyNumberFormat="1" applyFont="1" applyFill="1" applyBorder="1" applyAlignment="1">
      <alignment horizontal="center"/>
    </xf>
    <xf numFmtId="170" fontId="21" fillId="4" borderId="1" xfId="0" applyNumberFormat="1" applyFont="1" applyFill="1" applyBorder="1" applyAlignment="1">
      <alignment horizontal="center"/>
    </xf>
    <xf numFmtId="10" fontId="21" fillId="4" borderId="1" xfId="0" applyNumberFormat="1" applyFont="1" applyFill="1" applyBorder="1" applyAlignment="1">
      <alignment horizontal="center"/>
    </xf>
    <xf numFmtId="3" fontId="31" fillId="4" borderId="1" xfId="0" applyNumberFormat="1" applyFont="1" applyFill="1" applyBorder="1" applyAlignment="1">
      <alignment horizontal="center"/>
    </xf>
    <xf numFmtId="0" fontId="35" fillId="4" borderId="1" xfId="0" applyFont="1" applyFill="1" applyBorder="1" applyAlignment="1">
      <alignment horizontal="center" wrapText="1"/>
    </xf>
    <xf numFmtId="0" fontId="35" fillId="4" borderId="1" xfId="0" applyFont="1" applyFill="1" applyBorder="1" applyAlignment="1">
      <alignment horizont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AAFCCB"/>
      <color rgb="FF9DE7F9"/>
      <color rgb="FFFFFFD1"/>
      <color rgb="FFFFE1FF"/>
      <color rgb="FFFFCCFF"/>
      <color rgb="FFC8FCF7"/>
      <color rgb="FFCDF2FF"/>
      <color rgb="FFD5FFEA"/>
      <color rgb="FFFFF3FF"/>
      <color rgb="FFECFE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topLeftCell="A31" workbookViewId="0">
      <selection activeCell="G8" sqref="G8"/>
    </sheetView>
  </sheetViews>
  <sheetFormatPr defaultRowHeight="15" x14ac:dyDescent="0.25"/>
  <cols>
    <col min="1" max="1" width="4.7109375" customWidth="1"/>
    <col min="2" max="2" width="41.85546875" customWidth="1"/>
    <col min="3" max="3" width="18.28515625" customWidth="1"/>
    <col min="4" max="4" width="20.140625" customWidth="1"/>
    <col min="5" max="5" width="19.5703125" customWidth="1"/>
    <col min="6" max="6" width="18.28515625" customWidth="1"/>
    <col min="8" max="8" width="22.5703125" customWidth="1"/>
    <col min="9" max="9" width="26.85546875" customWidth="1"/>
    <col min="10" max="10" width="22.5703125" customWidth="1"/>
    <col min="11" max="11" width="24.7109375" customWidth="1"/>
    <col min="12" max="12" width="9.5703125" bestFit="1" customWidth="1"/>
  </cols>
  <sheetData>
    <row r="2" spans="1:12" ht="15.75" thickBot="1" x14ac:dyDescent="0.3"/>
    <row r="3" spans="1:12" ht="29.25" customHeight="1" thickBot="1" x14ac:dyDescent="0.35">
      <c r="A3" s="3"/>
      <c r="B3" s="4" t="s">
        <v>0</v>
      </c>
      <c r="C3" s="4" t="s">
        <v>1</v>
      </c>
      <c r="D3" s="4" t="s">
        <v>2</v>
      </c>
      <c r="E3" s="8" t="s">
        <v>6</v>
      </c>
      <c r="F3" s="11" t="s">
        <v>3</v>
      </c>
      <c r="H3" s="63" t="s">
        <v>37</v>
      </c>
      <c r="I3" s="60"/>
      <c r="J3" s="62"/>
      <c r="K3" s="60"/>
    </row>
    <row r="4" spans="1:12" ht="56.25" x14ac:dyDescent="0.3">
      <c r="A4" s="35">
        <v>1</v>
      </c>
      <c r="B4" s="12" t="s">
        <v>4</v>
      </c>
      <c r="C4" s="5">
        <v>1792048.2</v>
      </c>
      <c r="D4" s="5">
        <v>2134429.9</v>
      </c>
      <c r="E4" s="9">
        <v>1963452.7</v>
      </c>
      <c r="F4" s="36">
        <v>2324373.7999999998</v>
      </c>
      <c r="H4" s="64"/>
      <c r="I4" s="60"/>
      <c r="J4" s="62" t="s">
        <v>38</v>
      </c>
      <c r="K4" s="1">
        <v>2016</v>
      </c>
      <c r="L4" s="76">
        <f>J32/(E4*1000)*100</f>
        <v>11.234870847665441</v>
      </c>
    </row>
    <row r="5" spans="1:12" ht="37.5" x14ac:dyDescent="0.3">
      <c r="A5" s="37">
        <v>2</v>
      </c>
      <c r="B5" s="7" t="s">
        <v>5</v>
      </c>
      <c r="C5" s="13">
        <v>100.7</v>
      </c>
      <c r="D5" s="13">
        <v>101.1</v>
      </c>
      <c r="E5" s="14">
        <v>96</v>
      </c>
      <c r="F5" s="38">
        <v>102.8</v>
      </c>
      <c r="H5" s="64"/>
      <c r="I5" s="60"/>
      <c r="J5" s="22">
        <f>J9/(J7*1000)*100</f>
        <v>48.671451619470282</v>
      </c>
      <c r="K5" s="1"/>
      <c r="L5" s="76">
        <f>K32/(D4*1000)*100</f>
        <v>11.154962338948552</v>
      </c>
    </row>
    <row r="6" spans="1:12" ht="30.75" x14ac:dyDescent="0.3">
      <c r="A6" s="39">
        <v>3</v>
      </c>
      <c r="B6" s="26" t="s">
        <v>7</v>
      </c>
      <c r="C6" s="25">
        <v>196230.9</v>
      </c>
      <c r="D6" s="25">
        <v>228124.3</v>
      </c>
      <c r="E6" s="27">
        <v>275077.59999999998</v>
      </c>
      <c r="F6" s="40">
        <v>240058.3</v>
      </c>
      <c r="H6" s="64"/>
      <c r="I6" s="69" t="s">
        <v>59</v>
      </c>
      <c r="J6" s="22">
        <f>J8/(J7*1000)*100</f>
        <v>79.807126061882173</v>
      </c>
      <c r="K6" s="1"/>
    </row>
    <row r="7" spans="1:12" ht="37.5" x14ac:dyDescent="0.3">
      <c r="A7" s="37">
        <v>4</v>
      </c>
      <c r="B7" s="7" t="s">
        <v>8</v>
      </c>
      <c r="C7" s="13">
        <v>120.7</v>
      </c>
      <c r="D7" s="13">
        <v>82.9</v>
      </c>
      <c r="E7" s="14">
        <v>140.19999999999999</v>
      </c>
      <c r="F7" s="38">
        <v>105.2</v>
      </c>
      <c r="H7" s="64"/>
      <c r="I7" s="60"/>
      <c r="J7" s="6">
        <f>E6</f>
        <v>275077.59999999998</v>
      </c>
      <c r="K7" s="6">
        <f>D6</f>
        <v>228124.3</v>
      </c>
    </row>
    <row r="8" spans="1:12" ht="52.5" customHeight="1" x14ac:dyDescent="0.3">
      <c r="A8" s="37">
        <v>5</v>
      </c>
      <c r="B8" s="26" t="s">
        <v>9</v>
      </c>
      <c r="C8" s="25">
        <v>215780396</v>
      </c>
      <c r="D8" s="25">
        <f>D6*1000*D9/100</f>
        <v>250936730</v>
      </c>
      <c r="E8" s="27">
        <v>289908842</v>
      </c>
      <c r="F8" s="40">
        <f>(F6*1000)*F9/100</f>
        <v>253021448.19999999</v>
      </c>
      <c r="H8" s="65">
        <v>243043730</v>
      </c>
      <c r="I8" s="26" t="s">
        <v>57</v>
      </c>
      <c r="J8" s="25">
        <f>E13</f>
        <v>219531527</v>
      </c>
      <c r="K8" s="25">
        <f>(K7*1000)*J6/100</f>
        <v>182059447.67878628</v>
      </c>
    </row>
    <row r="9" spans="1:12" ht="45.75" x14ac:dyDescent="0.3">
      <c r="A9" s="37">
        <v>6</v>
      </c>
      <c r="B9" s="7" t="s">
        <v>10</v>
      </c>
      <c r="C9" s="13">
        <f>C8/196231000*100</f>
        <v>109.96244018529183</v>
      </c>
      <c r="D9" s="6">
        <v>110</v>
      </c>
      <c r="E9" s="14">
        <f>(E8/(E6*1000))*100</f>
        <v>105.3916574813798</v>
      </c>
      <c r="F9" s="38">
        <v>105.4</v>
      </c>
      <c r="H9" s="64"/>
      <c r="I9" s="69" t="s">
        <v>39</v>
      </c>
      <c r="J9" s="25">
        <v>133884261</v>
      </c>
      <c r="K9" s="25">
        <f>J11*(K7*1000)/100</f>
        <v>138456244.36423364</v>
      </c>
      <c r="L9">
        <f>K9/J9*100</f>
        <v>103.41487739491176</v>
      </c>
    </row>
    <row r="10" spans="1:12" ht="18.75" x14ac:dyDescent="0.3">
      <c r="A10" s="41">
        <v>7</v>
      </c>
      <c r="B10" s="19" t="s">
        <v>11</v>
      </c>
      <c r="C10" s="20">
        <f>C8/1792048000*100</f>
        <v>12.040994214440683</v>
      </c>
      <c r="D10" s="20">
        <f>D8/(D4*1000)*100</f>
        <v>11.756616134359813</v>
      </c>
      <c r="E10" s="29">
        <f>E8/(E4*1000)*100</f>
        <v>14.765257243018892</v>
      </c>
      <c r="F10" s="42">
        <f>F8/(F4*1000)*100</f>
        <v>10.885574781474476</v>
      </c>
      <c r="H10" s="64"/>
      <c r="I10" s="60" t="s">
        <v>40</v>
      </c>
      <c r="J10" s="6">
        <v>24064181</v>
      </c>
      <c r="K10" s="6">
        <f>K9*18/100</f>
        <v>24922123.985562056</v>
      </c>
    </row>
    <row r="11" spans="1:12" ht="30.75" x14ac:dyDescent="0.3">
      <c r="A11" s="39">
        <v>8</v>
      </c>
      <c r="B11" s="26" t="s">
        <v>12</v>
      </c>
      <c r="C11" s="25">
        <v>12347050</v>
      </c>
      <c r="D11" s="25">
        <f>C12*D8/100</f>
        <v>14358711.030201742</v>
      </c>
      <c r="E11" s="27">
        <v>24544689</v>
      </c>
      <c r="F11" s="40">
        <f>F8*F12/100</f>
        <v>21506823.096999999</v>
      </c>
      <c r="H11" s="65">
        <v>120069536</v>
      </c>
      <c r="I11" s="70" t="s">
        <v>41</v>
      </c>
      <c r="J11" s="13">
        <f>J9/J32*100</f>
        <v>60.693334451539641</v>
      </c>
      <c r="K11" s="6"/>
    </row>
    <row r="12" spans="1:12" ht="37.5" x14ac:dyDescent="0.3">
      <c r="A12" s="37">
        <v>9</v>
      </c>
      <c r="B12" s="7" t="s">
        <v>13</v>
      </c>
      <c r="C12" s="13">
        <f>C11/C8*100</f>
        <v>5.7220443695913881</v>
      </c>
      <c r="D12" s="13">
        <v>5.7</v>
      </c>
      <c r="E12" s="14">
        <f>E11/E8*100</f>
        <v>8.4663471561174397</v>
      </c>
      <c r="F12" s="38">
        <v>8.5</v>
      </c>
      <c r="H12" s="66">
        <f>H11/H8*100</f>
        <v>49.402441280834523</v>
      </c>
      <c r="I12" s="60" t="s">
        <v>42</v>
      </c>
      <c r="J12" s="6">
        <v>34894</v>
      </c>
      <c r="K12" s="6">
        <f>(J12/J9*100)*K9/100</f>
        <v>36085.5873181805</v>
      </c>
    </row>
    <row r="13" spans="1:12" ht="30.75" x14ac:dyDescent="0.3">
      <c r="A13" s="37">
        <v>10</v>
      </c>
      <c r="B13" s="7" t="s">
        <v>14</v>
      </c>
      <c r="C13" s="6">
        <v>182065428</v>
      </c>
      <c r="D13" s="6">
        <f>D8-D11-D37</f>
        <v>207971231.74979827</v>
      </c>
      <c r="E13" s="10">
        <v>219531527</v>
      </c>
      <c r="F13" s="43">
        <f>F8-F11-F37</f>
        <v>202670180.00819999</v>
      </c>
      <c r="H13" s="64">
        <v>91540703</v>
      </c>
      <c r="I13" s="72" t="s">
        <v>43</v>
      </c>
      <c r="J13" s="25">
        <v>21939442</v>
      </c>
      <c r="K13" s="25">
        <f>K15*(K7*1000)/100</f>
        <v>34218645</v>
      </c>
    </row>
    <row r="14" spans="1:12" ht="18.75" x14ac:dyDescent="0.3">
      <c r="A14" s="37">
        <v>11</v>
      </c>
      <c r="B14" s="7" t="s">
        <v>15</v>
      </c>
      <c r="C14" s="13">
        <v>18</v>
      </c>
      <c r="D14" s="13">
        <v>18</v>
      </c>
      <c r="E14" s="14">
        <v>18</v>
      </c>
      <c r="F14" s="38">
        <v>18</v>
      </c>
      <c r="H14" s="64">
        <v>18</v>
      </c>
      <c r="I14" s="71" t="s">
        <v>44</v>
      </c>
      <c r="J14" s="6">
        <v>3949097</v>
      </c>
      <c r="K14" s="6">
        <f>K13*18/100</f>
        <v>6159356.0999999996</v>
      </c>
    </row>
    <row r="15" spans="1:12" ht="18.75" x14ac:dyDescent="0.3">
      <c r="A15" s="37">
        <v>12</v>
      </c>
      <c r="B15" s="7" t="s">
        <v>16</v>
      </c>
      <c r="C15" s="6">
        <f>C13*C14/100</f>
        <v>32771777.039999999</v>
      </c>
      <c r="D15" s="6">
        <f>D13*D14/100</f>
        <v>37434821.714963689</v>
      </c>
      <c r="E15" s="10">
        <f>E13*E14/100</f>
        <v>39515674.859999999</v>
      </c>
      <c r="F15" s="43">
        <f>F13*F14/100</f>
        <v>36480632.401475996</v>
      </c>
      <c r="H15" s="64">
        <f>H13*H14/100</f>
        <v>16477326.539999999</v>
      </c>
      <c r="I15" s="60" t="s">
        <v>45</v>
      </c>
      <c r="J15" s="13">
        <f>J13/J32*100</f>
        <v>9.9457388123175718</v>
      </c>
      <c r="K15" s="13">
        <v>15</v>
      </c>
    </row>
    <row r="16" spans="1:12" ht="37.5" x14ac:dyDescent="0.3">
      <c r="A16" s="37">
        <v>13</v>
      </c>
      <c r="B16" s="26" t="s">
        <v>17</v>
      </c>
      <c r="C16" s="25">
        <v>2332140</v>
      </c>
      <c r="D16" s="25">
        <f>D8*D17/100</f>
        <v>2760304.03</v>
      </c>
      <c r="E16" s="27">
        <v>4620512</v>
      </c>
      <c r="F16" s="40">
        <f>F8*F17/100</f>
        <v>4048343.1712000002</v>
      </c>
      <c r="H16" s="65">
        <v>3423295</v>
      </c>
      <c r="I16" s="69" t="s">
        <v>46</v>
      </c>
      <c r="J16" s="6">
        <v>12637</v>
      </c>
      <c r="K16" s="25">
        <f>J18*(K7*1000)/100</f>
        <v>13068.538056394998</v>
      </c>
    </row>
    <row r="17" spans="1:12" ht="18.75" x14ac:dyDescent="0.3">
      <c r="A17" s="37">
        <v>14</v>
      </c>
      <c r="B17" s="7" t="s">
        <v>18</v>
      </c>
      <c r="C17" s="13">
        <f>C16/C8*100</f>
        <v>1.0807932709512684</v>
      </c>
      <c r="D17" s="13">
        <v>1.1000000000000001</v>
      </c>
      <c r="E17" s="14">
        <f>E16/E8*100</f>
        <v>1.5937809858176042</v>
      </c>
      <c r="F17" s="38">
        <v>1.6</v>
      </c>
      <c r="H17" s="66">
        <f>H16/H8*100</f>
        <v>1.4085099006668471</v>
      </c>
      <c r="I17" s="60" t="s">
        <v>44</v>
      </c>
      <c r="J17" s="6">
        <v>2275</v>
      </c>
      <c r="K17" s="6">
        <f>K16*18/100</f>
        <v>2352.3368501511</v>
      </c>
    </row>
    <row r="18" spans="1:12" s="28" customFormat="1" ht="37.5" x14ac:dyDescent="0.3">
      <c r="A18" s="39">
        <v>15</v>
      </c>
      <c r="B18" s="26" t="s">
        <v>19</v>
      </c>
      <c r="C18" s="25">
        <f>2469410* (18/20)</f>
        <v>2222469</v>
      </c>
      <c r="D18" s="25">
        <f>D8*C19/100</f>
        <v>2584567.9854363133</v>
      </c>
      <c r="E18" s="27">
        <f>(4908938)*(18/20)</f>
        <v>4418044.2</v>
      </c>
      <c r="F18" s="40">
        <f>F8*F19/100</f>
        <v>4301364.6194000002</v>
      </c>
      <c r="H18" s="65">
        <f>24013907*(18/20)</f>
        <v>21612516.300000001</v>
      </c>
      <c r="I18" s="61" t="s">
        <v>47</v>
      </c>
      <c r="J18" s="74">
        <f>J16/J32*100</f>
        <v>5.7286917949534522E-3</v>
      </c>
      <c r="K18" s="25"/>
    </row>
    <row r="19" spans="1:12" ht="30.75" x14ac:dyDescent="0.3">
      <c r="A19" s="37">
        <v>16</v>
      </c>
      <c r="B19" s="7" t="s">
        <v>20</v>
      </c>
      <c r="C19" s="13">
        <f>C18/C8*100</f>
        <v>1.0299679865264497</v>
      </c>
      <c r="D19" s="13">
        <f>D18/D8*100</f>
        <v>1.0299679865264497</v>
      </c>
      <c r="E19" s="14">
        <f>E18/E8*100</f>
        <v>1.5239425501896215</v>
      </c>
      <c r="F19" s="38">
        <v>1.7</v>
      </c>
      <c r="H19" s="66">
        <f>H18/H8*100</f>
        <v>8.8924393564894686</v>
      </c>
      <c r="I19" s="69" t="s">
        <v>48</v>
      </c>
      <c r="J19" s="25">
        <v>64755035</v>
      </c>
      <c r="K19" s="25">
        <f>J22*(K7*1000)/100</f>
        <v>66966340.052282192</v>
      </c>
    </row>
    <row r="20" spans="1:12" ht="18.75" x14ac:dyDescent="0.3">
      <c r="A20" s="39">
        <v>17</v>
      </c>
      <c r="B20" s="26" t="s">
        <v>21</v>
      </c>
      <c r="C20" s="25">
        <v>62063</v>
      </c>
      <c r="D20" s="25">
        <f>C21*D8/100</f>
        <v>72174.704295148287</v>
      </c>
      <c r="E20" s="27">
        <v>130639</v>
      </c>
      <c r="F20" s="40">
        <f>F21*F8/100</f>
        <v>126510.72410000001</v>
      </c>
      <c r="H20" s="65">
        <v>39278</v>
      </c>
      <c r="I20" s="60" t="s">
        <v>44</v>
      </c>
      <c r="J20" s="6">
        <v>11255489</v>
      </c>
      <c r="K20" s="6">
        <f>K19*18/100</f>
        <v>12053941.209410794</v>
      </c>
    </row>
    <row r="21" spans="1:12" ht="18.75" x14ac:dyDescent="0.3">
      <c r="A21" s="37">
        <v>18</v>
      </c>
      <c r="B21" s="7" t="s">
        <v>20</v>
      </c>
      <c r="C21" s="21">
        <f>C20/C8*100</f>
        <v>2.8762112383925738E-2</v>
      </c>
      <c r="D21" s="21">
        <v>0.03</v>
      </c>
      <c r="E21" s="31">
        <f>E20/E8*100</f>
        <v>4.5062095760432172E-2</v>
      </c>
      <c r="F21" s="44">
        <v>0.05</v>
      </c>
      <c r="H21" s="67">
        <f>H20/H8*100</f>
        <v>1.6160877715298397E-2</v>
      </c>
      <c r="I21" s="60" t="s">
        <v>49</v>
      </c>
      <c r="J21" s="6">
        <v>399955</v>
      </c>
      <c r="K21" s="6">
        <f>(J21/J19*100)*K19/100</f>
        <v>413612.97288481926</v>
      </c>
    </row>
    <row r="22" spans="1:12" ht="18.75" x14ac:dyDescent="0.3">
      <c r="A22" s="39">
        <v>19</v>
      </c>
      <c r="B22" s="26" t="s">
        <v>22</v>
      </c>
      <c r="C22" s="25">
        <v>26794593</v>
      </c>
      <c r="D22" s="25">
        <f>C23*D8/100</f>
        <v>31160140.929118</v>
      </c>
      <c r="E22" s="27">
        <v>26640481</v>
      </c>
      <c r="F22" s="40">
        <f>F23*F8/100</f>
        <v>23277973.234399997</v>
      </c>
      <c r="H22" s="68">
        <v>11197964</v>
      </c>
      <c r="I22" s="60" t="s">
        <v>47</v>
      </c>
      <c r="J22" s="13">
        <f>J19/J32*100</f>
        <v>29.355198044347837</v>
      </c>
      <c r="K22" s="6"/>
    </row>
    <row r="23" spans="1:12" ht="18.75" x14ac:dyDescent="0.3">
      <c r="A23" s="37">
        <v>20</v>
      </c>
      <c r="B23" s="7" t="s">
        <v>23</v>
      </c>
      <c r="C23" s="13">
        <f>C22/C8*100</f>
        <v>12.417528884319964</v>
      </c>
      <c r="D23" s="13">
        <v>12.4</v>
      </c>
      <c r="E23" s="14">
        <f>E22/E8*100</f>
        <v>9.1892612920029535</v>
      </c>
      <c r="F23" s="38">
        <v>9.1999999999999993</v>
      </c>
      <c r="H23" s="66">
        <f>H22/H8*100</f>
        <v>4.6073864978948436</v>
      </c>
      <c r="I23" s="60"/>
      <c r="J23" s="6"/>
      <c r="K23" s="6"/>
    </row>
    <row r="24" spans="1:12" ht="18.75" x14ac:dyDescent="0.3">
      <c r="A24" s="39">
        <v>21</v>
      </c>
      <c r="B24" s="26" t="s">
        <v>24</v>
      </c>
      <c r="C24" s="25">
        <f>C22*C14/100</f>
        <v>4823026.74</v>
      </c>
      <c r="D24" s="25">
        <f>D22*18/100</f>
        <v>5608825.3672412392</v>
      </c>
      <c r="E24" s="27">
        <v>4395331</v>
      </c>
      <c r="F24" s="40">
        <f>F22*18/100</f>
        <v>4190035.1821919996</v>
      </c>
      <c r="H24" s="64">
        <v>2015634</v>
      </c>
      <c r="I24" s="60" t="s">
        <v>50</v>
      </c>
      <c r="J24" s="25">
        <f>J9+J13+J16+J19</f>
        <v>220591375</v>
      </c>
      <c r="K24" s="25">
        <f>K9+K13+K16+K19</f>
        <v>239654297.95457223</v>
      </c>
    </row>
    <row r="25" spans="1:12" ht="18.75" x14ac:dyDescent="0.3">
      <c r="A25" s="39">
        <v>22</v>
      </c>
      <c r="B25" s="26" t="s">
        <v>25</v>
      </c>
      <c r="C25" s="25"/>
      <c r="D25" s="25">
        <v>95</v>
      </c>
      <c r="E25" s="27">
        <f>E28/E26*100</f>
        <v>84.680512949912725</v>
      </c>
      <c r="F25" s="40">
        <v>95</v>
      </c>
      <c r="H25" s="64">
        <v>91.3</v>
      </c>
      <c r="I25" s="60" t="s">
        <v>44</v>
      </c>
      <c r="J25" s="6">
        <f>J10+J14+J17+J20</f>
        <v>39271042</v>
      </c>
      <c r="K25" s="6">
        <f>K24*18/100</f>
        <v>43137773.631823003</v>
      </c>
    </row>
    <row r="26" spans="1:12" ht="18.75" x14ac:dyDescent="0.3">
      <c r="A26" s="55">
        <v>23</v>
      </c>
      <c r="B26" s="56" t="s">
        <v>26</v>
      </c>
      <c r="C26" s="57"/>
      <c r="D26" s="57">
        <f>(D15+D16-D18-D20+D24)*95/100</f>
        <v>40989848.001349792</v>
      </c>
      <c r="E26" s="58">
        <f>E15+E16-E18-E20+E24</f>
        <v>43982834.659999996</v>
      </c>
      <c r="F26" s="59">
        <f>(F15+F16-F18-F20+F24)*F25/100</f>
        <v>38276578.640799589</v>
      </c>
      <c r="H26" s="64"/>
      <c r="I26" s="60" t="s">
        <v>51</v>
      </c>
      <c r="J26" s="6">
        <f>E22</f>
        <v>26640481</v>
      </c>
      <c r="K26" s="6">
        <f>J31*K19/100</f>
        <v>27550220.763564762</v>
      </c>
    </row>
    <row r="27" spans="1:12" ht="37.5" x14ac:dyDescent="0.3">
      <c r="A27" s="55">
        <v>24</v>
      </c>
      <c r="B27" s="56" t="s">
        <v>27</v>
      </c>
      <c r="C27" s="57"/>
      <c r="D27" s="57">
        <f>(D15+D16-D18-D20)*95/100</f>
        <v>35661463.902470618</v>
      </c>
      <c r="E27" s="58"/>
      <c r="F27" s="59"/>
      <c r="H27" s="64"/>
      <c r="I27" s="60" t="s">
        <v>52</v>
      </c>
      <c r="J27" s="6">
        <f>E24</f>
        <v>4395331</v>
      </c>
      <c r="K27" s="6">
        <f>K26*18/100</f>
        <v>4959039.7374416571</v>
      </c>
    </row>
    <row r="28" spans="1:12" ht="37.5" x14ac:dyDescent="0.3">
      <c r="A28" s="45">
        <v>25</v>
      </c>
      <c r="B28" s="15" t="s">
        <v>28</v>
      </c>
      <c r="C28" s="16">
        <v>42838844</v>
      </c>
      <c r="D28" s="16"/>
      <c r="E28" s="32">
        <v>37244890</v>
      </c>
      <c r="F28" s="46"/>
      <c r="H28" s="64"/>
      <c r="I28" s="1" t="s">
        <v>30</v>
      </c>
      <c r="J28" s="6">
        <v>53</v>
      </c>
      <c r="K28" s="6">
        <v>50</v>
      </c>
    </row>
    <row r="29" spans="1:12" ht="56.25" x14ac:dyDescent="0.3">
      <c r="A29" s="45">
        <v>26</v>
      </c>
      <c r="B29" s="15" t="s">
        <v>29</v>
      </c>
      <c r="C29" s="16"/>
      <c r="D29" s="16">
        <v>34029606</v>
      </c>
      <c r="E29" s="17">
        <v>30641481</v>
      </c>
      <c r="F29" s="46"/>
      <c r="H29" s="64"/>
      <c r="I29" s="7" t="s">
        <v>31</v>
      </c>
      <c r="J29" s="13"/>
      <c r="K29" s="21">
        <f>K28/J28</f>
        <v>0.94339622641509435</v>
      </c>
    </row>
    <row r="30" spans="1:12" ht="56.25" x14ac:dyDescent="0.3">
      <c r="A30" s="37">
        <v>27</v>
      </c>
      <c r="B30" s="1" t="s">
        <v>30</v>
      </c>
      <c r="C30" s="1">
        <v>97.6</v>
      </c>
      <c r="D30" s="22">
        <v>50</v>
      </c>
      <c r="E30" s="22">
        <v>53</v>
      </c>
      <c r="F30" s="47">
        <v>52</v>
      </c>
      <c r="H30" s="64"/>
      <c r="I30" s="23" t="s">
        <v>32</v>
      </c>
      <c r="J30" s="6"/>
      <c r="K30" s="6">
        <f>K26*K29</f>
        <v>25990774.305249777</v>
      </c>
    </row>
    <row r="31" spans="1:12" ht="37.5" x14ac:dyDescent="0.3">
      <c r="A31" s="37">
        <v>28</v>
      </c>
      <c r="B31" s="7" t="s">
        <v>31</v>
      </c>
      <c r="C31" s="1"/>
      <c r="D31" s="22">
        <f>D30/C30</f>
        <v>0.51229508196721318</v>
      </c>
      <c r="E31" s="22"/>
      <c r="F31" s="47">
        <f>F30/E30</f>
        <v>0.98113207547169812</v>
      </c>
      <c r="H31" s="64"/>
      <c r="I31" s="75" t="s">
        <v>53</v>
      </c>
      <c r="J31" s="13">
        <f>J26/J19*100</f>
        <v>41.140400897011332</v>
      </c>
      <c r="K31" s="25">
        <f>K26-K30</f>
        <v>1559446.458314985</v>
      </c>
    </row>
    <row r="32" spans="1:12" ht="37.5" x14ac:dyDescent="0.3">
      <c r="A32" s="37">
        <v>29</v>
      </c>
      <c r="B32" s="23" t="s">
        <v>32</v>
      </c>
      <c r="C32" s="6"/>
      <c r="D32" s="6">
        <f>D24*D31</f>
        <v>2873373.6512506353</v>
      </c>
      <c r="E32" s="6"/>
      <c r="F32" s="43"/>
      <c r="H32" s="64"/>
      <c r="I32" s="60" t="s">
        <v>54</v>
      </c>
      <c r="J32" s="6">
        <f>J9+J13+J16+J19</f>
        <v>220591375</v>
      </c>
      <c r="K32" s="6">
        <f>K9+K13+K16+K19-K31</f>
        <v>238094851.49625725</v>
      </c>
      <c r="L32">
        <f>K32/J24*100</f>
        <v>107.93479640636777</v>
      </c>
    </row>
    <row r="33" spans="1:11" ht="18.75" x14ac:dyDescent="0.3">
      <c r="A33" s="39">
        <v>30</v>
      </c>
      <c r="B33" s="25" t="s">
        <v>26</v>
      </c>
      <c r="C33" s="25"/>
      <c r="D33" s="25">
        <f>(D15+D16-D18-D20+D32)*95/100</f>
        <v>38391168.871158727</v>
      </c>
      <c r="E33" s="25"/>
      <c r="F33" s="40">
        <f>F26</f>
        <v>38276578.640799589</v>
      </c>
      <c r="H33" s="64"/>
      <c r="I33" s="60" t="s">
        <v>44</v>
      </c>
      <c r="J33" s="6">
        <f>J32*18/100</f>
        <v>39706447.5</v>
      </c>
      <c r="K33" s="6">
        <f>K32*18/100</f>
        <v>42857073.269326307</v>
      </c>
    </row>
    <row r="34" spans="1:11" s="24" customFormat="1" ht="37.5" x14ac:dyDescent="0.3">
      <c r="A34" s="48">
        <v>31</v>
      </c>
      <c r="B34" s="33" t="s">
        <v>33</v>
      </c>
      <c r="C34" s="33"/>
      <c r="D34" s="33">
        <f>(D29/E29)*E28</f>
        <v>41363174.71774096</v>
      </c>
      <c r="E34" s="33"/>
      <c r="F34" s="49"/>
      <c r="H34" s="64"/>
      <c r="I34" s="7" t="s">
        <v>60</v>
      </c>
      <c r="J34" s="6">
        <f>J12+J21</f>
        <v>434849</v>
      </c>
      <c r="K34" s="6">
        <f>K21+K12</f>
        <v>449698.56020299974</v>
      </c>
    </row>
    <row r="35" spans="1:11" s="24" customFormat="1" ht="18.75" x14ac:dyDescent="0.3">
      <c r="A35" s="48">
        <v>32</v>
      </c>
      <c r="B35" s="33" t="s">
        <v>34</v>
      </c>
      <c r="C35" s="33"/>
      <c r="D35" s="33">
        <f>D34-D33</f>
        <v>2972005.8465822339</v>
      </c>
      <c r="E35" s="33"/>
      <c r="F35" s="49"/>
      <c r="H35" s="64"/>
      <c r="I35" s="1" t="s">
        <v>44</v>
      </c>
      <c r="J35" s="6">
        <f>J33-J34</f>
        <v>39271598.5</v>
      </c>
      <c r="K35" s="6">
        <f>K33-K34</f>
        <v>42407374.709123306</v>
      </c>
    </row>
    <row r="36" spans="1:11" ht="18.75" x14ac:dyDescent="0.3">
      <c r="A36" s="41">
        <v>33</v>
      </c>
      <c r="B36" s="18" t="s">
        <v>35</v>
      </c>
      <c r="C36" s="18"/>
      <c r="D36" s="34">
        <f>D34/D33*100</f>
        <v>107.74137890033076</v>
      </c>
      <c r="E36" s="18"/>
      <c r="F36" s="50"/>
      <c r="H36" s="64"/>
      <c r="I36" s="60" t="s">
        <v>55</v>
      </c>
      <c r="J36" s="6">
        <f>J37/J35*100</f>
        <v>94.839251323064929</v>
      </c>
      <c r="K36" s="6">
        <v>95</v>
      </c>
    </row>
    <row r="37" spans="1:11" ht="18.75" x14ac:dyDescent="0.3">
      <c r="A37" s="39">
        <v>34</v>
      </c>
      <c r="B37" s="2" t="s">
        <v>36</v>
      </c>
      <c r="C37" s="25">
        <v>24576966</v>
      </c>
      <c r="D37" s="25">
        <f>D8*D38/100</f>
        <v>28606787.219999999</v>
      </c>
      <c r="E37" s="25">
        <v>48537436</v>
      </c>
      <c r="F37" s="40">
        <f>F8*F38/100</f>
        <v>28844445.094799999</v>
      </c>
      <c r="H37" s="64">
        <v>31961749</v>
      </c>
      <c r="I37" s="60" t="s">
        <v>56</v>
      </c>
      <c r="J37" s="6">
        <v>37244890</v>
      </c>
      <c r="K37" s="6">
        <f>K35*K36/100</f>
        <v>40287005.973667137</v>
      </c>
    </row>
    <row r="38" spans="1:11" ht="19.5" thickBot="1" x14ac:dyDescent="0.35">
      <c r="A38" s="51">
        <v>35</v>
      </c>
      <c r="B38" s="52" t="s">
        <v>20</v>
      </c>
      <c r="C38" s="53">
        <f>C37/C8*100</f>
        <v>11.389804845848925</v>
      </c>
      <c r="D38" s="53">
        <v>11.4</v>
      </c>
      <c r="E38" s="53">
        <f>E37/E8*100</f>
        <v>16.742309639524549</v>
      </c>
      <c r="F38" s="54">
        <v>11.4</v>
      </c>
      <c r="H38" s="64"/>
      <c r="I38" s="60" t="s">
        <v>58</v>
      </c>
      <c r="J38" s="6"/>
      <c r="K38" s="6">
        <f>K37*95/100</f>
        <v>38272655.674983785</v>
      </c>
    </row>
    <row r="40" spans="1:11" x14ac:dyDescent="0.25">
      <c r="K40" s="30">
        <f>D34-K37</f>
        <v>1076168.7440738231</v>
      </c>
    </row>
    <row r="41" spans="1:11" x14ac:dyDescent="0.25">
      <c r="K41" s="30">
        <f>D34/K37*100</f>
        <v>102.67125520515781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2"/>
  <sheetViews>
    <sheetView topLeftCell="A34" workbookViewId="0">
      <selection activeCell="G8" sqref="G8"/>
    </sheetView>
  </sheetViews>
  <sheetFormatPr defaultRowHeight="15" x14ac:dyDescent="0.25"/>
  <cols>
    <col min="1" max="1" width="4.85546875" customWidth="1"/>
    <col min="2" max="2" width="31.42578125" customWidth="1"/>
    <col min="3" max="3" width="22.5703125" customWidth="1"/>
    <col min="4" max="4" width="24.7109375" customWidth="1"/>
    <col min="5" max="5" width="9.5703125" bestFit="1" customWidth="1"/>
    <col min="6" max="6" width="18.28515625" customWidth="1"/>
    <col min="7" max="7" width="10.42578125" customWidth="1"/>
    <col min="8" max="8" width="18.42578125" customWidth="1"/>
    <col min="9" max="9" width="11.42578125" customWidth="1"/>
    <col min="10" max="10" width="18.28515625" customWidth="1"/>
    <col min="11" max="11" width="10.85546875" customWidth="1"/>
  </cols>
  <sheetData>
    <row r="3" spans="1:11" ht="21.75" thickBot="1" x14ac:dyDescent="0.4">
      <c r="B3" s="112" t="s">
        <v>61</v>
      </c>
      <c r="C3" s="28"/>
      <c r="D3" s="28"/>
      <c r="E3" s="28"/>
      <c r="F3" s="28"/>
      <c r="G3" s="28"/>
      <c r="H3" s="28"/>
      <c r="I3" s="28"/>
      <c r="J3" s="28"/>
      <c r="K3" s="28"/>
    </row>
    <row r="4" spans="1:11" ht="68.25" customHeight="1" thickBot="1" x14ac:dyDescent="0.35">
      <c r="A4" s="107"/>
      <c r="B4" s="4" t="s">
        <v>62</v>
      </c>
      <c r="C4" s="108" t="s">
        <v>63</v>
      </c>
      <c r="D4" s="4" t="s">
        <v>64</v>
      </c>
      <c r="E4" s="109" t="s">
        <v>65</v>
      </c>
      <c r="F4" s="110" t="s">
        <v>91</v>
      </c>
      <c r="G4" s="109" t="s">
        <v>92</v>
      </c>
      <c r="H4" s="110" t="s">
        <v>79</v>
      </c>
      <c r="I4" s="109" t="s">
        <v>80</v>
      </c>
      <c r="J4" s="111" t="s">
        <v>81</v>
      </c>
      <c r="K4" s="109" t="s">
        <v>82</v>
      </c>
    </row>
    <row r="5" spans="1:11" ht="18.75" x14ac:dyDescent="0.3">
      <c r="A5" s="101">
        <v>1</v>
      </c>
      <c r="B5" s="102" t="s">
        <v>66</v>
      </c>
      <c r="C5" s="103">
        <v>1963452.7</v>
      </c>
      <c r="D5" s="5">
        <v>2134429.9</v>
      </c>
      <c r="E5" s="104">
        <f>D5/C5*100</f>
        <v>108.70798670118205</v>
      </c>
      <c r="F5" s="101"/>
      <c r="G5" s="105"/>
      <c r="H5" s="119">
        <v>2339200</v>
      </c>
      <c r="I5" s="121">
        <f>H5/D5*100</f>
        <v>109.59366714268761</v>
      </c>
      <c r="J5" s="106"/>
      <c r="K5" s="105"/>
    </row>
    <row r="6" spans="1:11" ht="37.5" x14ac:dyDescent="0.3">
      <c r="A6" s="89">
        <v>2</v>
      </c>
      <c r="B6" s="7" t="s">
        <v>67</v>
      </c>
      <c r="C6" s="78">
        <f>C32/(C5*1000)*100</f>
        <v>11.234870847665441</v>
      </c>
      <c r="D6" s="13">
        <f>D32/(D5*1000)*100</f>
        <v>11.388863416230146</v>
      </c>
      <c r="E6" s="95">
        <f t="shared" ref="E6:E40" si="0">D6/C6*100</f>
        <v>101.3706661220472</v>
      </c>
      <c r="F6" s="117">
        <f>F32/(D5*1000)*100</f>
        <v>10.879411031489017</v>
      </c>
      <c r="G6" s="90"/>
      <c r="H6" s="113">
        <v>11</v>
      </c>
      <c r="I6" s="43"/>
      <c r="J6" s="94"/>
      <c r="K6" s="90"/>
    </row>
    <row r="7" spans="1:11" ht="41.25" customHeight="1" x14ac:dyDescent="0.3">
      <c r="A7" s="89">
        <v>3</v>
      </c>
      <c r="B7" s="7" t="s">
        <v>68</v>
      </c>
      <c r="C7" s="6">
        <v>275078</v>
      </c>
      <c r="D7" s="6">
        <v>228124</v>
      </c>
      <c r="E7" s="95">
        <f t="shared" si="0"/>
        <v>82.930659667439784</v>
      </c>
      <c r="F7" s="89"/>
      <c r="G7" s="90"/>
      <c r="H7" s="113"/>
      <c r="I7" s="43"/>
      <c r="J7" s="94"/>
      <c r="K7" s="90"/>
    </row>
    <row r="8" spans="1:11" ht="37.5" x14ac:dyDescent="0.3">
      <c r="A8" s="89">
        <v>4</v>
      </c>
      <c r="B8" s="7" t="s">
        <v>59</v>
      </c>
      <c r="C8" s="13">
        <f>C32/(C7*1000)*100</f>
        <v>80.192300002181199</v>
      </c>
      <c r="D8" s="13">
        <f>D32/(D7*1000)*100</f>
        <v>106.55928618916803</v>
      </c>
      <c r="E8" s="95">
        <f t="shared" si="0"/>
        <v>132.87969815838886</v>
      </c>
      <c r="F8" s="89"/>
      <c r="G8" s="90"/>
      <c r="H8" s="113"/>
      <c r="I8" s="43"/>
      <c r="J8" s="94"/>
      <c r="K8" s="90"/>
    </row>
    <row r="9" spans="1:11" ht="37.5" x14ac:dyDescent="0.3">
      <c r="A9" s="89">
        <v>5</v>
      </c>
      <c r="B9" s="19" t="s">
        <v>69</v>
      </c>
      <c r="C9" s="16"/>
      <c r="D9" s="79">
        <f>C6*(D5*1000)/100</f>
        <v>239800442.59895462</v>
      </c>
      <c r="E9" s="96"/>
      <c r="F9" s="113">
        <f>D5*1000*C6/100</f>
        <v>239800442.59895462</v>
      </c>
      <c r="G9" s="43"/>
      <c r="H9" s="113">
        <f>(H5*1000)*11/100</f>
        <v>257312000</v>
      </c>
      <c r="I9" s="38">
        <f>H9/F9*100</f>
        <v>107.30255424521127</v>
      </c>
      <c r="J9" s="94"/>
      <c r="K9" s="90"/>
    </row>
    <row r="10" spans="1:11" ht="18.75" x14ac:dyDescent="0.3">
      <c r="A10" s="89">
        <v>6</v>
      </c>
      <c r="B10" s="26" t="s">
        <v>70</v>
      </c>
      <c r="C10" s="25"/>
      <c r="D10" s="25"/>
      <c r="E10" s="95"/>
      <c r="F10" s="113"/>
      <c r="G10" s="43"/>
      <c r="H10" s="113"/>
      <c r="I10" s="43"/>
      <c r="J10" s="94"/>
      <c r="K10" s="90"/>
    </row>
    <row r="11" spans="1:11" ht="56.25" x14ac:dyDescent="0.3">
      <c r="A11" s="89">
        <v>7</v>
      </c>
      <c r="B11" s="86" t="s">
        <v>39</v>
      </c>
      <c r="C11" s="85">
        <v>133884261</v>
      </c>
      <c r="D11" s="85">
        <f>C13*D9/100</f>
        <v>145542884.64285588</v>
      </c>
      <c r="E11" s="97">
        <f t="shared" si="0"/>
        <v>108.70798670118207</v>
      </c>
      <c r="F11" s="113">
        <v>143053366</v>
      </c>
      <c r="G11" s="38">
        <f>F11/D11*100</f>
        <v>98.289494777456937</v>
      </c>
      <c r="H11" s="113">
        <f>H9*F13/100</f>
        <v>158515173.52212083</v>
      </c>
      <c r="I11" s="38">
        <f>H11/F11*100</f>
        <v>110.80841923154804</v>
      </c>
      <c r="J11" s="94"/>
      <c r="K11" s="90"/>
    </row>
    <row r="12" spans="1:11" ht="39" customHeight="1" x14ac:dyDescent="0.3">
      <c r="A12" s="89">
        <v>8</v>
      </c>
      <c r="B12" s="7" t="s">
        <v>40</v>
      </c>
      <c r="C12" s="6">
        <v>24064181</v>
      </c>
      <c r="D12" s="6">
        <f>D11*18/100</f>
        <v>26197719.235714059</v>
      </c>
      <c r="E12" s="95">
        <f t="shared" si="0"/>
        <v>108.86603302939774</v>
      </c>
      <c r="F12" s="113">
        <v>25713195</v>
      </c>
      <c r="G12" s="38">
        <f t="shared" ref="G12:G22" si="1">F12/D12*100</f>
        <v>98.150509854103902</v>
      </c>
      <c r="H12" s="113">
        <f>F12*I12/100</f>
        <v>28490220.059999999</v>
      </c>
      <c r="I12" s="38">
        <v>110.8</v>
      </c>
      <c r="J12" s="94"/>
      <c r="K12" s="90"/>
    </row>
    <row r="13" spans="1:11" ht="56.25" x14ac:dyDescent="0.3">
      <c r="A13" s="89">
        <v>9</v>
      </c>
      <c r="B13" s="77" t="s">
        <v>72</v>
      </c>
      <c r="C13" s="13">
        <f>C11/C32*100</f>
        <v>60.693334451539641</v>
      </c>
      <c r="D13" s="13">
        <f>C13</f>
        <v>60.693334451539641</v>
      </c>
      <c r="E13" s="95">
        <f t="shared" si="0"/>
        <v>100</v>
      </c>
      <c r="F13" s="120">
        <f>F11/F32*100</f>
        <v>61.604267784681952</v>
      </c>
      <c r="G13" s="38">
        <f t="shared" si="1"/>
        <v>101.50087870665541</v>
      </c>
      <c r="H13" s="120">
        <f>H11/H9*100</f>
        <v>61.604267784681952</v>
      </c>
      <c r="I13" s="38"/>
      <c r="J13" s="94"/>
      <c r="K13" s="90"/>
    </row>
    <row r="14" spans="1:11" ht="18.75" x14ac:dyDescent="0.3">
      <c r="A14" s="89">
        <v>10</v>
      </c>
      <c r="B14" s="2" t="s">
        <v>71</v>
      </c>
      <c r="C14" s="25">
        <v>34894</v>
      </c>
      <c r="D14" s="25">
        <f>C14/C11*D11</f>
        <v>37932.564879510472</v>
      </c>
      <c r="E14" s="95">
        <f t="shared" si="0"/>
        <v>108.70798670118207</v>
      </c>
      <c r="F14" s="113"/>
      <c r="G14" s="38">
        <f t="shared" si="1"/>
        <v>0</v>
      </c>
      <c r="H14" s="113"/>
      <c r="I14" s="38"/>
      <c r="J14" s="94"/>
      <c r="K14" s="90"/>
    </row>
    <row r="15" spans="1:11" ht="37.5" x14ac:dyDescent="0.3">
      <c r="A15" s="89">
        <v>11</v>
      </c>
      <c r="B15" s="88" t="s">
        <v>43</v>
      </c>
      <c r="C15" s="85">
        <v>21939442</v>
      </c>
      <c r="D15" s="85">
        <f>D17*D9/100</f>
        <v>28776053.111874551</v>
      </c>
      <c r="E15" s="97">
        <f t="shared" si="0"/>
        <v>131.16128072844583</v>
      </c>
      <c r="F15" s="113">
        <v>18608280</v>
      </c>
      <c r="G15" s="38">
        <f t="shared" si="1"/>
        <v>64.665852289246786</v>
      </c>
      <c r="H15" s="113">
        <f>F17*H9/100</f>
        <v>20619540.914180309</v>
      </c>
      <c r="I15" s="38">
        <f t="shared" ref="I15:I21" si="2">H15/F15*100</f>
        <v>110.80841923154804</v>
      </c>
      <c r="J15" s="94"/>
      <c r="K15" s="90"/>
    </row>
    <row r="16" spans="1:11" ht="18.75" x14ac:dyDescent="0.3">
      <c r="A16" s="89">
        <v>12</v>
      </c>
      <c r="B16" s="6" t="s">
        <v>44</v>
      </c>
      <c r="C16" s="6">
        <v>3949097</v>
      </c>
      <c r="D16" s="6">
        <f>D15*18/100</f>
        <v>5179689.560137419</v>
      </c>
      <c r="E16" s="95">
        <f t="shared" si="0"/>
        <v>131.16136575367531</v>
      </c>
      <c r="F16" s="113">
        <v>3349488</v>
      </c>
      <c r="G16" s="38">
        <f t="shared" si="1"/>
        <v>64.66580595442359</v>
      </c>
      <c r="H16" s="113">
        <f>H15*18/100</f>
        <v>3711517.3645524555</v>
      </c>
      <c r="I16" s="38">
        <f t="shared" si="2"/>
        <v>110.80849862881897</v>
      </c>
      <c r="J16" s="94"/>
      <c r="K16" s="90"/>
    </row>
    <row r="17" spans="1:11" ht="18.75" x14ac:dyDescent="0.3">
      <c r="A17" s="89">
        <v>13</v>
      </c>
      <c r="B17" s="1" t="s">
        <v>45</v>
      </c>
      <c r="C17" s="13">
        <f>C15/C32*100</f>
        <v>9.9457388123175718</v>
      </c>
      <c r="D17" s="73">
        <v>12</v>
      </c>
      <c r="E17" s="95">
        <f t="shared" si="0"/>
        <v>120.65468665976098</v>
      </c>
      <c r="F17" s="120">
        <f>F15/F32*100</f>
        <v>8.0134392932239109</v>
      </c>
      <c r="G17" s="38">
        <f t="shared" si="1"/>
        <v>66.778660776865934</v>
      </c>
      <c r="H17" s="120">
        <f>H15/H9*100</f>
        <v>8.0134392932239109</v>
      </c>
      <c r="I17" s="38"/>
      <c r="J17" s="94"/>
      <c r="K17" s="90"/>
    </row>
    <row r="18" spans="1:11" ht="56.25" x14ac:dyDescent="0.3">
      <c r="A18" s="89">
        <v>14</v>
      </c>
      <c r="B18" s="86" t="s">
        <v>46</v>
      </c>
      <c r="C18" s="85">
        <v>12637</v>
      </c>
      <c r="D18" s="85">
        <f>C20*D9/100</f>
        <v>13737.428279428375</v>
      </c>
      <c r="E18" s="97">
        <f t="shared" si="0"/>
        <v>108.70798670118205</v>
      </c>
      <c r="F18" s="113">
        <v>738</v>
      </c>
      <c r="G18" s="38">
        <f t="shared" si="1"/>
        <v>5.3721845529497365</v>
      </c>
      <c r="H18" s="113"/>
      <c r="I18" s="38"/>
      <c r="J18" s="94"/>
      <c r="K18" s="90"/>
    </row>
    <row r="19" spans="1:11" ht="18.75" x14ac:dyDescent="0.3">
      <c r="A19" s="89">
        <v>15</v>
      </c>
      <c r="B19" s="1" t="s">
        <v>44</v>
      </c>
      <c r="C19" s="6">
        <v>2275</v>
      </c>
      <c r="D19" s="6">
        <f>D18*18/100</f>
        <v>2472.7370902971074</v>
      </c>
      <c r="E19" s="95">
        <f t="shared" si="0"/>
        <v>108.69174023283989</v>
      </c>
      <c r="F19" s="113">
        <v>132</v>
      </c>
      <c r="G19" s="38">
        <f t="shared" si="1"/>
        <v>5.3382140995887184</v>
      </c>
      <c r="H19" s="113"/>
      <c r="I19" s="38"/>
      <c r="J19" s="94"/>
      <c r="K19" s="90"/>
    </row>
    <row r="20" spans="1:11" ht="18.75" x14ac:dyDescent="0.3">
      <c r="A20" s="89">
        <v>16</v>
      </c>
      <c r="B20" s="1" t="s">
        <v>47</v>
      </c>
      <c r="C20" s="84">
        <v>5.7286917949534522E-3</v>
      </c>
      <c r="D20" s="84">
        <f>C20</f>
        <v>5.7286917949534522E-3</v>
      </c>
      <c r="E20" s="95">
        <f t="shared" si="0"/>
        <v>100</v>
      </c>
      <c r="F20" s="113"/>
      <c r="G20" s="38">
        <f t="shared" si="1"/>
        <v>0</v>
      </c>
      <c r="H20" s="113"/>
      <c r="I20" s="38"/>
      <c r="J20" s="94"/>
      <c r="K20" s="90"/>
    </row>
    <row r="21" spans="1:11" ht="37.5" x14ac:dyDescent="0.3">
      <c r="A21" s="89">
        <v>17</v>
      </c>
      <c r="B21" s="86" t="s">
        <v>48</v>
      </c>
      <c r="C21" s="85">
        <v>64755035</v>
      </c>
      <c r="D21" s="85">
        <f>C24*D9/100</f>
        <v>70393894.836145788</v>
      </c>
      <c r="E21" s="97">
        <f t="shared" si="0"/>
        <v>108.70798670118207</v>
      </c>
      <c r="F21" s="113">
        <v>70551018</v>
      </c>
      <c r="G21" s="38">
        <f t="shared" si="1"/>
        <v>100.22320566892901</v>
      </c>
      <c r="H21" s="113">
        <f>F24*H9/100</f>
        <v>78176467.797564939</v>
      </c>
      <c r="I21" s="38">
        <f t="shared" si="2"/>
        <v>110.80841923154807</v>
      </c>
      <c r="J21" s="94"/>
      <c r="K21" s="90"/>
    </row>
    <row r="22" spans="1:11" ht="18.75" x14ac:dyDescent="0.3">
      <c r="A22" s="89">
        <v>18</v>
      </c>
      <c r="B22" s="1" t="s">
        <v>44</v>
      </c>
      <c r="C22" s="6">
        <v>11255489</v>
      </c>
      <c r="D22" s="6">
        <f>D21*18/100</f>
        <v>12670901.070506241</v>
      </c>
      <c r="E22" s="95">
        <f t="shared" si="0"/>
        <v>112.57530499568912</v>
      </c>
      <c r="F22" s="113">
        <v>12242945</v>
      </c>
      <c r="G22" s="38">
        <f t="shared" si="1"/>
        <v>96.622528515336739</v>
      </c>
      <c r="H22" s="113">
        <f>F22*I22/100</f>
        <v>13565183.060000001</v>
      </c>
      <c r="I22" s="38">
        <v>110.8</v>
      </c>
      <c r="J22" s="94"/>
      <c r="K22" s="90"/>
    </row>
    <row r="23" spans="1:11" ht="18.75" x14ac:dyDescent="0.3">
      <c r="A23" s="89">
        <v>19</v>
      </c>
      <c r="B23" s="1" t="s">
        <v>49</v>
      </c>
      <c r="C23" s="6">
        <v>399955</v>
      </c>
      <c r="D23" s="6">
        <f>C23/C22*D22</f>
        <v>450250.56109550851</v>
      </c>
      <c r="E23" s="95">
        <f t="shared" si="0"/>
        <v>112.57530499568915</v>
      </c>
      <c r="F23" s="113"/>
      <c r="G23" s="43"/>
      <c r="H23" s="113"/>
      <c r="I23" s="38"/>
      <c r="J23" s="94"/>
      <c r="K23" s="90"/>
    </row>
    <row r="24" spans="1:11" ht="18.75" x14ac:dyDescent="0.3">
      <c r="A24" s="89">
        <v>20</v>
      </c>
      <c r="B24" s="7" t="s">
        <v>73</v>
      </c>
      <c r="C24" s="13">
        <f>C21/C32*100</f>
        <v>29.355198044347837</v>
      </c>
      <c r="D24" s="13">
        <f>C24</f>
        <v>29.355198044347837</v>
      </c>
      <c r="E24" s="95">
        <f t="shared" si="0"/>
        <v>100</v>
      </c>
      <c r="F24" s="120">
        <f>F21/F32*100</f>
        <v>30.381975110980029</v>
      </c>
      <c r="G24" s="43"/>
      <c r="H24" s="120">
        <f>H21/H9*100</f>
        <v>30.381975110980029</v>
      </c>
      <c r="I24" s="38"/>
      <c r="J24" s="94"/>
      <c r="K24" s="90"/>
    </row>
    <row r="25" spans="1:11" ht="37.5" x14ac:dyDescent="0.3">
      <c r="A25" s="89">
        <v>21</v>
      </c>
      <c r="B25" s="19" t="s">
        <v>74</v>
      </c>
      <c r="C25" s="80">
        <v>26640481</v>
      </c>
      <c r="D25" s="80">
        <f>C30*D21/100</f>
        <v>28960330.542610936</v>
      </c>
      <c r="E25" s="96">
        <f t="shared" si="0"/>
        <v>108.70798670118207</v>
      </c>
      <c r="F25" s="113"/>
      <c r="G25" s="43"/>
      <c r="H25" s="113"/>
      <c r="I25" s="43"/>
      <c r="J25" s="94"/>
      <c r="K25" s="90"/>
    </row>
    <row r="26" spans="1:11" ht="18.75" x14ac:dyDescent="0.3">
      <c r="A26" s="89">
        <v>22</v>
      </c>
      <c r="B26" s="18" t="s">
        <v>52</v>
      </c>
      <c r="C26" s="80">
        <v>4395331</v>
      </c>
      <c r="D26" s="80">
        <f>D25*18/100</f>
        <v>5212859.4976699688</v>
      </c>
      <c r="E26" s="96">
        <f t="shared" si="0"/>
        <v>118.59993019114985</v>
      </c>
      <c r="F26" s="113"/>
      <c r="G26" s="43"/>
      <c r="H26" s="113"/>
      <c r="I26" s="43"/>
      <c r="J26" s="94"/>
      <c r="K26" s="90"/>
    </row>
    <row r="27" spans="1:11" ht="18.75" x14ac:dyDescent="0.3">
      <c r="A27" s="89">
        <v>23</v>
      </c>
      <c r="B27" s="18" t="s">
        <v>30</v>
      </c>
      <c r="C27" s="80">
        <v>53</v>
      </c>
      <c r="D27" s="80">
        <v>50</v>
      </c>
      <c r="E27" s="96">
        <f t="shared" si="0"/>
        <v>94.339622641509436</v>
      </c>
      <c r="F27" s="113"/>
      <c r="G27" s="43"/>
      <c r="H27" s="113"/>
      <c r="I27" s="43"/>
      <c r="J27" s="94"/>
      <c r="K27" s="90"/>
    </row>
    <row r="28" spans="1:11" ht="56.25" x14ac:dyDescent="0.3">
      <c r="A28" s="89">
        <v>24</v>
      </c>
      <c r="B28" s="19" t="s">
        <v>31</v>
      </c>
      <c r="C28" s="80"/>
      <c r="D28" s="81">
        <v>0.94339622641509435</v>
      </c>
      <c r="E28" s="96"/>
      <c r="F28" s="113"/>
      <c r="G28" s="43"/>
      <c r="H28" s="113"/>
      <c r="I28" s="43"/>
      <c r="J28" s="94"/>
      <c r="K28" s="90"/>
    </row>
    <row r="29" spans="1:11" ht="56.25" x14ac:dyDescent="0.3">
      <c r="A29" s="89">
        <v>25</v>
      </c>
      <c r="B29" s="33" t="s">
        <v>32</v>
      </c>
      <c r="C29" s="80"/>
      <c r="D29" s="80">
        <f>D25*D28</f>
        <v>27321066.549632959</v>
      </c>
      <c r="E29" s="96"/>
      <c r="F29" s="113"/>
      <c r="G29" s="43"/>
      <c r="H29" s="113"/>
      <c r="I29" s="43"/>
      <c r="J29" s="94"/>
      <c r="K29" s="90"/>
    </row>
    <row r="30" spans="1:11" ht="37.5" x14ac:dyDescent="0.3">
      <c r="A30" s="89">
        <v>26</v>
      </c>
      <c r="B30" s="82" t="s">
        <v>84</v>
      </c>
      <c r="C30" s="20">
        <f>C25/C21*100</f>
        <v>41.140400897011332</v>
      </c>
      <c r="D30" s="83">
        <f>D29/D21*100</f>
        <v>38.811698959444655</v>
      </c>
      <c r="E30" s="96">
        <f t="shared" si="0"/>
        <v>94.339622641509436</v>
      </c>
      <c r="F30" s="113"/>
      <c r="G30" s="43"/>
      <c r="H30" s="113"/>
      <c r="I30" s="43"/>
      <c r="J30" s="94"/>
      <c r="K30" s="90"/>
    </row>
    <row r="31" spans="1:11" ht="75" x14ac:dyDescent="0.3">
      <c r="A31" s="89">
        <v>27</v>
      </c>
      <c r="B31" s="19" t="s">
        <v>78</v>
      </c>
      <c r="C31" s="80"/>
      <c r="D31" s="79">
        <f>D25-D29</f>
        <v>1639263.9929779768</v>
      </c>
      <c r="E31" s="96"/>
      <c r="F31" s="113"/>
      <c r="G31" s="43"/>
      <c r="H31" s="113"/>
      <c r="I31" s="43"/>
      <c r="J31" s="94"/>
      <c r="K31" s="90"/>
    </row>
    <row r="32" spans="1:11" ht="53.25" customHeight="1" x14ac:dyDescent="0.3">
      <c r="A32" s="89">
        <v>28</v>
      </c>
      <c r="B32" s="86" t="s">
        <v>83</v>
      </c>
      <c r="C32" s="85">
        <v>220591375</v>
      </c>
      <c r="D32" s="85">
        <f>D11+D15+D18+D21-D31</f>
        <v>243087306.02617767</v>
      </c>
      <c r="E32" s="98">
        <f t="shared" si="0"/>
        <v>110.19801024685469</v>
      </c>
      <c r="F32" s="113">
        <f>F11+F15+F18+F21</f>
        <v>232213402</v>
      </c>
      <c r="G32" s="38">
        <f>F32/D32*100</f>
        <v>95.526749543636527</v>
      </c>
      <c r="H32" s="113">
        <f>H9</f>
        <v>257312000</v>
      </c>
      <c r="I32" s="43"/>
      <c r="J32" s="94"/>
      <c r="K32" s="90"/>
    </row>
    <row r="33" spans="1:13" ht="18.75" x14ac:dyDescent="0.3">
      <c r="A33" s="89">
        <v>29</v>
      </c>
      <c r="B33" s="1" t="s">
        <v>44</v>
      </c>
      <c r="C33" s="6">
        <v>39271042</v>
      </c>
      <c r="D33" s="6">
        <f>D32*18/100</f>
        <v>43755715.084711984</v>
      </c>
      <c r="E33" s="95">
        <f t="shared" si="0"/>
        <v>111.4197965124327</v>
      </c>
      <c r="F33" s="113"/>
      <c r="G33" s="43"/>
      <c r="H33" s="113"/>
      <c r="I33" s="43"/>
      <c r="J33" s="94"/>
      <c r="K33" s="90"/>
    </row>
    <row r="34" spans="1:13" ht="18.75" x14ac:dyDescent="0.3">
      <c r="A34" s="89">
        <v>30</v>
      </c>
      <c r="B34" s="87" t="s">
        <v>75</v>
      </c>
      <c r="C34" s="85">
        <v>220591375</v>
      </c>
      <c r="D34" s="85">
        <f>D32</f>
        <v>243087306.02617767</v>
      </c>
      <c r="E34" s="98">
        <f t="shared" si="0"/>
        <v>110.19801024685469</v>
      </c>
      <c r="F34" s="113"/>
      <c r="G34" s="43"/>
      <c r="H34" s="113">
        <f>H12+H16+H22</f>
        <v>45766920.484552458</v>
      </c>
      <c r="I34" s="43"/>
      <c r="J34" s="94"/>
      <c r="K34" s="90"/>
    </row>
    <row r="35" spans="1:13" ht="37.5" x14ac:dyDescent="0.3">
      <c r="A35" s="89">
        <v>31</v>
      </c>
      <c r="B35" s="7" t="s">
        <v>76</v>
      </c>
      <c r="C35" s="6">
        <v>39706447.5</v>
      </c>
      <c r="D35" s="6">
        <f>D34*18/100</f>
        <v>43755715.084711984</v>
      </c>
      <c r="E35" s="95">
        <f t="shared" si="0"/>
        <v>110.19801024685469</v>
      </c>
      <c r="F35" s="113">
        <f>F32*18/100</f>
        <v>41798412.359999999</v>
      </c>
      <c r="G35" s="43"/>
      <c r="H35" s="113">
        <f>H34</f>
        <v>45766920.484552458</v>
      </c>
      <c r="I35" s="43"/>
      <c r="J35" s="94"/>
      <c r="K35" s="90"/>
    </row>
    <row r="36" spans="1:13" ht="18.75" x14ac:dyDescent="0.3">
      <c r="A36" s="89">
        <v>32</v>
      </c>
      <c r="B36" s="26" t="s">
        <v>60</v>
      </c>
      <c r="C36" s="25">
        <v>434849</v>
      </c>
      <c r="D36" s="25">
        <f>D14+D23</f>
        <v>488183.12597501901</v>
      </c>
      <c r="E36" s="95">
        <f t="shared" si="0"/>
        <v>112.26497611240201</v>
      </c>
      <c r="F36" s="113">
        <f>456234+36357</f>
        <v>492591</v>
      </c>
      <c r="G36" s="43">
        <f>F36/D36*100</f>
        <v>100.90291404812024</v>
      </c>
      <c r="H36" s="113">
        <f>F36*101/100</f>
        <v>497516.91</v>
      </c>
      <c r="I36" s="43"/>
      <c r="J36" s="94"/>
      <c r="K36" s="90"/>
    </row>
    <row r="37" spans="1:13" ht="37.5" x14ac:dyDescent="0.3">
      <c r="A37" s="89">
        <v>33</v>
      </c>
      <c r="B37" s="7" t="s">
        <v>77</v>
      </c>
      <c r="C37" s="6">
        <v>39271598.5</v>
      </c>
      <c r="D37" s="6">
        <f>D35-D36</f>
        <v>43267531.958736964</v>
      </c>
      <c r="E37" s="95">
        <f t="shared" si="0"/>
        <v>110.17512301857781</v>
      </c>
      <c r="F37" s="113">
        <f>F35-F36</f>
        <v>41305821.359999999</v>
      </c>
      <c r="G37" s="43"/>
      <c r="H37" s="113">
        <f>H35-H36</f>
        <v>45269403.574552462</v>
      </c>
      <c r="I37" s="43"/>
      <c r="J37" s="94"/>
      <c r="K37" s="90"/>
    </row>
    <row r="38" spans="1:13" ht="18.75" x14ac:dyDescent="0.3">
      <c r="A38" s="89">
        <v>34</v>
      </c>
      <c r="B38" s="1" t="s">
        <v>55</v>
      </c>
      <c r="C38" s="6">
        <v>94.839251323064929</v>
      </c>
      <c r="D38" s="6">
        <v>95</v>
      </c>
      <c r="E38" s="95">
        <f t="shared" si="0"/>
        <v>100.16949593622107</v>
      </c>
      <c r="F38" s="113">
        <v>95</v>
      </c>
      <c r="G38" s="43"/>
      <c r="H38" s="113">
        <v>95</v>
      </c>
      <c r="I38" s="43"/>
      <c r="J38" s="94"/>
      <c r="K38" s="90"/>
    </row>
    <row r="39" spans="1:13" ht="18.75" x14ac:dyDescent="0.3">
      <c r="A39" s="89">
        <v>35</v>
      </c>
      <c r="B39" s="2" t="s">
        <v>56</v>
      </c>
      <c r="C39" s="25">
        <v>37244890</v>
      </c>
      <c r="D39" s="25">
        <f>D37*D38/100</f>
        <v>41104155.360800117</v>
      </c>
      <c r="E39" s="99">
        <f t="shared" si="0"/>
        <v>110.36186537482087</v>
      </c>
      <c r="F39" s="113">
        <f>F37*F38/100</f>
        <v>39240530.291999996</v>
      </c>
      <c r="G39" s="43"/>
      <c r="H39" s="113">
        <f>H37*H38/100</f>
        <v>43005933.395824842</v>
      </c>
      <c r="I39" s="43"/>
      <c r="J39" s="94"/>
      <c r="K39" s="90"/>
    </row>
    <row r="40" spans="1:13" ht="18.75" x14ac:dyDescent="0.3">
      <c r="A40" s="89">
        <v>36</v>
      </c>
      <c r="B40" s="2" t="s">
        <v>58</v>
      </c>
      <c r="C40" s="25">
        <f>C39*95/100</f>
        <v>35382645.5</v>
      </c>
      <c r="D40" s="25">
        <f>D39*95/100</f>
        <v>39048947.592760108</v>
      </c>
      <c r="E40" s="99">
        <f t="shared" si="0"/>
        <v>110.36186537482084</v>
      </c>
      <c r="F40" s="113">
        <f>F39*95/100</f>
        <v>37278503.777399994</v>
      </c>
      <c r="G40" s="43"/>
      <c r="H40" s="113">
        <f>H39*95/100</f>
        <v>40855636.726033598</v>
      </c>
      <c r="I40" s="43"/>
      <c r="J40" s="94"/>
      <c r="K40" s="90"/>
    </row>
    <row r="41" spans="1:13" ht="19.5" thickBot="1" x14ac:dyDescent="0.35">
      <c r="A41" s="91"/>
      <c r="B41" s="92"/>
      <c r="C41" s="92"/>
      <c r="D41" s="92"/>
      <c r="E41" s="100"/>
      <c r="F41" s="114"/>
      <c r="G41" s="115"/>
      <c r="H41" s="114"/>
      <c r="I41" s="115"/>
      <c r="J41" s="92"/>
      <c r="K41" s="93"/>
      <c r="M41" t="s">
        <v>85</v>
      </c>
    </row>
    <row r="42" spans="1:13" x14ac:dyDescent="0.25">
      <c r="D42" s="30"/>
    </row>
    <row r="43" spans="1:13" x14ac:dyDescent="0.25">
      <c r="B43" t="s">
        <v>94</v>
      </c>
      <c r="D43" s="30"/>
      <c r="F43" s="118">
        <v>45993718</v>
      </c>
    </row>
    <row r="44" spans="1:13" x14ac:dyDescent="0.25">
      <c r="F44" s="30">
        <f>F43-F39</f>
        <v>6753187.7080000043</v>
      </c>
    </row>
    <row r="45" spans="1:13" x14ac:dyDescent="0.25">
      <c r="F45" s="76">
        <f>F44/F43*100</f>
        <v>14.682848009808652</v>
      </c>
      <c r="L45" t="s">
        <v>86</v>
      </c>
    </row>
    <row r="46" spans="1:13" x14ac:dyDescent="0.25">
      <c r="B46" t="s">
        <v>88</v>
      </c>
      <c r="D46" s="30">
        <f>D39*12/100</f>
        <v>4932498.6432960145</v>
      </c>
      <c r="F46" s="30">
        <f>F39*12/100</f>
        <v>4708863.6350399991</v>
      </c>
      <c r="H46" s="30">
        <f>H39*12/100</f>
        <v>5160712.0074989805</v>
      </c>
    </row>
    <row r="47" spans="1:13" x14ac:dyDescent="0.25">
      <c r="B47" t="s">
        <v>89</v>
      </c>
      <c r="D47" s="30">
        <f>D39*2/100</f>
        <v>822083.1072160023</v>
      </c>
      <c r="F47" s="30">
        <f>F39*2/100</f>
        <v>784810.60583999986</v>
      </c>
      <c r="H47" s="30">
        <f>H39*2/100</f>
        <v>860118.66791649687</v>
      </c>
    </row>
    <row r="48" spans="1:13" x14ac:dyDescent="0.25">
      <c r="B48" t="s">
        <v>90</v>
      </c>
      <c r="D48" s="30">
        <f>D39*2/100</f>
        <v>822083.1072160023</v>
      </c>
      <c r="F48" s="30">
        <f>F39*2/100</f>
        <v>784810.60583999986</v>
      </c>
      <c r="H48" s="30">
        <f>H39*2/100</f>
        <v>860118.66791649687</v>
      </c>
      <c r="I48" t="s">
        <v>87</v>
      </c>
    </row>
    <row r="50" spans="2:8" x14ac:dyDescent="0.25">
      <c r="B50" t="s">
        <v>93</v>
      </c>
      <c r="D50" s="118">
        <f>D39+D46+D47+D48</f>
        <v>47680820.218528137</v>
      </c>
      <c r="F50" s="118">
        <f>F39+F46+F47+F48</f>
        <v>45519015.138719991</v>
      </c>
      <c r="H50" s="118">
        <f>H39+H46+H47+H48</f>
        <v>49886882.73915682</v>
      </c>
    </row>
    <row r="51" spans="2:8" x14ac:dyDescent="0.25">
      <c r="D51" s="116">
        <f>F43/D50*100</f>
        <v>96.461675342840365</v>
      </c>
      <c r="F51" s="116">
        <f>F43/F50*100</f>
        <v>101.04286716185169</v>
      </c>
    </row>
    <row r="52" spans="2:8" x14ac:dyDescent="0.25">
      <c r="H52" s="3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80"/>
  <sheetViews>
    <sheetView topLeftCell="A43" zoomScaleNormal="100" workbookViewId="0">
      <selection activeCell="G8" sqref="G8"/>
    </sheetView>
  </sheetViews>
  <sheetFormatPr defaultRowHeight="15" x14ac:dyDescent="0.25"/>
  <cols>
    <col min="1" max="1" width="4.85546875" customWidth="1"/>
    <col min="2" max="2" width="31.42578125" customWidth="1"/>
    <col min="3" max="3" width="17.7109375" customWidth="1"/>
    <col min="4" max="4" width="16.7109375" customWidth="1"/>
    <col min="5" max="5" width="9.5703125" bestFit="1" customWidth="1"/>
    <col min="6" max="6" width="18.42578125" customWidth="1"/>
    <col min="7" max="7" width="10.42578125" customWidth="1"/>
    <col min="8" max="8" width="18.42578125" customWidth="1"/>
    <col min="9" max="9" width="11.42578125" customWidth="1"/>
    <col min="10" max="10" width="18.28515625" customWidth="1"/>
    <col min="11" max="11" width="10.85546875" customWidth="1"/>
    <col min="12" max="12" width="17.28515625" customWidth="1"/>
    <col min="13" max="13" width="9.5703125" bestFit="1" customWidth="1"/>
  </cols>
  <sheetData>
    <row r="2" spans="1:13" ht="21.75" thickBot="1" x14ac:dyDescent="0.4">
      <c r="B2" s="112" t="s">
        <v>61</v>
      </c>
      <c r="C2" s="28"/>
      <c r="D2" s="28"/>
      <c r="E2" s="28"/>
      <c r="F2" s="28"/>
      <c r="G2" s="28"/>
      <c r="H2" s="28"/>
      <c r="I2" s="28"/>
      <c r="J2" s="28"/>
      <c r="K2" s="28"/>
    </row>
    <row r="3" spans="1:13" ht="75.75" thickBot="1" x14ac:dyDescent="0.35">
      <c r="A3" s="107"/>
      <c r="B3" s="4" t="s">
        <v>62</v>
      </c>
      <c r="C3" s="108" t="s">
        <v>63</v>
      </c>
      <c r="D3" s="4" t="s">
        <v>64</v>
      </c>
      <c r="E3" s="109" t="s">
        <v>65</v>
      </c>
      <c r="F3" s="110" t="s">
        <v>91</v>
      </c>
      <c r="G3" s="109" t="s">
        <v>92</v>
      </c>
      <c r="H3" s="110" t="s">
        <v>79</v>
      </c>
      <c r="I3" s="109" t="s">
        <v>80</v>
      </c>
      <c r="J3" s="111" t="s">
        <v>100</v>
      </c>
      <c r="K3" s="133" t="s">
        <v>101</v>
      </c>
      <c r="L3" s="1">
        <v>2018</v>
      </c>
      <c r="M3" s="60"/>
    </row>
    <row r="4" spans="1:13" ht="18.75" x14ac:dyDescent="0.3">
      <c r="A4" s="101">
        <v>1</v>
      </c>
      <c r="B4" s="102" t="s">
        <v>66</v>
      </c>
      <c r="C4" s="103">
        <v>1963452.7</v>
      </c>
      <c r="D4" s="5">
        <v>2134429.9</v>
      </c>
      <c r="E4" s="104">
        <f>D4/C4*100</f>
        <v>108.70798670118205</v>
      </c>
      <c r="F4" s="119">
        <v>2194200</v>
      </c>
      <c r="G4" s="124">
        <f>F4/D4*100</f>
        <v>102.80028404774501</v>
      </c>
      <c r="H4" s="119">
        <v>2339200</v>
      </c>
      <c r="I4" s="121">
        <f>H4/D4*100</f>
        <v>109.59366714268761</v>
      </c>
      <c r="J4" s="130">
        <v>2165935</v>
      </c>
      <c r="K4" s="9"/>
      <c r="L4" s="6">
        <v>2519988</v>
      </c>
      <c r="M4" s="60"/>
    </row>
    <row r="5" spans="1:13" ht="37.5" x14ac:dyDescent="0.3">
      <c r="A5" s="89">
        <v>2</v>
      </c>
      <c r="B5" s="7" t="s">
        <v>67</v>
      </c>
      <c r="C5" s="78">
        <f>C31/(C4*1000)*100</f>
        <v>11.234870847665441</v>
      </c>
      <c r="D5" s="13">
        <f>D31/(D4*1000)*100</f>
        <v>11.388863416230146</v>
      </c>
      <c r="E5" s="95">
        <f t="shared" ref="E5:E39" si="0">D5/C5*100</f>
        <v>101.3706661220472</v>
      </c>
      <c r="F5" s="120">
        <f>F31/(D4*1000)*100</f>
        <v>10.879411031489017</v>
      </c>
      <c r="G5" s="90"/>
      <c r="H5" s="120">
        <v>11</v>
      </c>
      <c r="I5" s="43"/>
      <c r="J5" s="131">
        <v>8</v>
      </c>
      <c r="K5" s="10"/>
      <c r="L5" s="6">
        <f>(C5*D5*F5*H5*J5)^(1/5)</f>
        <v>10.414233364222088</v>
      </c>
      <c r="M5" s="60"/>
    </row>
    <row r="6" spans="1:13" ht="37.5" x14ac:dyDescent="0.3">
      <c r="A6" s="89">
        <v>3</v>
      </c>
      <c r="B6" s="7" t="s">
        <v>68</v>
      </c>
      <c r="C6" s="6">
        <v>275078</v>
      </c>
      <c r="D6" s="123">
        <v>228124</v>
      </c>
      <c r="E6" s="95">
        <f t="shared" si="0"/>
        <v>82.930659667439784</v>
      </c>
      <c r="F6" s="113">
        <v>335000</v>
      </c>
      <c r="G6" s="90"/>
      <c r="H6" s="113"/>
      <c r="I6" s="43"/>
      <c r="J6" s="131"/>
      <c r="K6" s="10"/>
      <c r="L6" s="6"/>
      <c r="M6" s="60"/>
    </row>
    <row r="7" spans="1:13" ht="37.5" x14ac:dyDescent="0.3">
      <c r="A7" s="89">
        <v>4</v>
      </c>
      <c r="B7" s="7" t="s">
        <v>59</v>
      </c>
      <c r="C7" s="13">
        <f>C31/(C6*1000)*100</f>
        <v>80.192300002181199</v>
      </c>
      <c r="D7" s="13">
        <f>D31/(D6*1000)*100</f>
        <v>106.55928618916803</v>
      </c>
      <c r="E7" s="95">
        <f t="shared" si="0"/>
        <v>132.87969815838886</v>
      </c>
      <c r="F7" s="113">
        <f>F8/(F6*1000)*100</f>
        <v>69.317433432835813</v>
      </c>
      <c r="G7" s="90"/>
      <c r="H7" s="113"/>
      <c r="I7" s="43"/>
      <c r="J7" s="131"/>
      <c r="K7" s="10"/>
      <c r="L7" s="6"/>
      <c r="M7" s="60"/>
    </row>
    <row r="8" spans="1:13" ht="37.5" x14ac:dyDescent="0.3">
      <c r="A8" s="89">
        <v>5</v>
      </c>
      <c r="B8" s="19" t="s">
        <v>69</v>
      </c>
      <c r="C8" s="16"/>
      <c r="D8" s="79">
        <f>C5*(D4*1000)/100</f>
        <v>239800442.59895462</v>
      </c>
      <c r="E8" s="96"/>
      <c r="F8" s="113">
        <f>F31</f>
        <v>232213402</v>
      </c>
      <c r="G8" s="38">
        <f>F8/D8*100</f>
        <v>96.836102337124004</v>
      </c>
      <c r="H8" s="113">
        <f>(H4*1000)*11/100</f>
        <v>257312000</v>
      </c>
      <c r="I8" s="38">
        <f>H8/F8*100</f>
        <v>110.80841923154804</v>
      </c>
      <c r="J8" s="131">
        <v>174955406</v>
      </c>
      <c r="K8" s="10"/>
      <c r="L8" s="6">
        <f>(L4*1000)*L5/100</f>
        <v>262437431.07039291</v>
      </c>
      <c r="M8" s="60"/>
    </row>
    <row r="9" spans="1:13" ht="18.75" x14ac:dyDescent="0.3">
      <c r="A9" s="89">
        <v>6</v>
      </c>
      <c r="B9" s="26" t="s">
        <v>70</v>
      </c>
      <c r="C9" s="25"/>
      <c r="D9" s="25"/>
      <c r="E9" s="95"/>
      <c r="F9" s="113"/>
      <c r="G9" s="43"/>
      <c r="H9" s="113"/>
      <c r="I9" s="43"/>
      <c r="J9" s="131"/>
      <c r="K9" s="10"/>
      <c r="L9" s="6"/>
      <c r="M9" s="60"/>
    </row>
    <row r="10" spans="1:13" ht="56.25" x14ac:dyDescent="0.3">
      <c r="A10" s="89">
        <v>7</v>
      </c>
      <c r="B10" s="86" t="s">
        <v>39</v>
      </c>
      <c r="C10" s="85">
        <v>133884261</v>
      </c>
      <c r="D10" s="85">
        <f>C12*D8/100</f>
        <v>145542884.64285588</v>
      </c>
      <c r="E10" s="97">
        <f t="shared" si="0"/>
        <v>108.70798670118207</v>
      </c>
      <c r="F10" s="113">
        <v>143053366</v>
      </c>
      <c r="G10" s="38">
        <f>F10/D10*100</f>
        <v>98.289494777456937</v>
      </c>
      <c r="H10" s="113">
        <f>H8*F12/100</f>
        <v>158515173.52212083</v>
      </c>
      <c r="I10" s="38">
        <f>H10/F10*100</f>
        <v>110.80841923154804</v>
      </c>
      <c r="J10" s="131">
        <f>J8*H12/100</f>
        <v>107779996.81601751</v>
      </c>
      <c r="K10" s="10"/>
      <c r="L10" s="6">
        <f>J10*K11/100</f>
        <v>114019659.35917532</v>
      </c>
      <c r="M10" s="60"/>
    </row>
    <row r="11" spans="1:13" ht="37.5" x14ac:dyDescent="0.3">
      <c r="A11" s="89">
        <v>8</v>
      </c>
      <c r="B11" s="7" t="s">
        <v>40</v>
      </c>
      <c r="C11" s="6">
        <v>24064181</v>
      </c>
      <c r="D11" s="6">
        <f>D10*18/100</f>
        <v>26197719.235714059</v>
      </c>
      <c r="E11" s="95">
        <f t="shared" si="0"/>
        <v>108.86603302939774</v>
      </c>
      <c r="F11" s="113">
        <v>25713195</v>
      </c>
      <c r="G11" s="38">
        <f t="shared" ref="G11:G21" si="1">F11/D11*100</f>
        <v>98.150509854103902</v>
      </c>
      <c r="H11" s="113">
        <f>F11*I11/100</f>
        <v>28490220.059999999</v>
      </c>
      <c r="I11" s="38">
        <v>110.8</v>
      </c>
      <c r="J11" s="131">
        <f>J10*17/100</f>
        <v>18322599.458722979</v>
      </c>
      <c r="K11" s="10">
        <f>(E11*G11*I11)^(1/3)</f>
        <v>105.78925842223677</v>
      </c>
      <c r="L11" s="123">
        <f>L10*17/100</f>
        <v>19383342.091059804</v>
      </c>
      <c r="M11" s="60"/>
    </row>
    <row r="12" spans="1:13" ht="56.25" x14ac:dyDescent="0.3">
      <c r="A12" s="89">
        <v>9</v>
      </c>
      <c r="B12" s="77" t="s">
        <v>72</v>
      </c>
      <c r="C12" s="13">
        <f>C10/C31*100</f>
        <v>60.693334451539641</v>
      </c>
      <c r="D12" s="13">
        <f>C12</f>
        <v>60.693334451539641</v>
      </c>
      <c r="E12" s="95">
        <f t="shared" si="0"/>
        <v>100</v>
      </c>
      <c r="F12" s="120">
        <f>F10/F31*100</f>
        <v>61.604267784681952</v>
      </c>
      <c r="G12" s="38">
        <f t="shared" si="1"/>
        <v>101.50087870665541</v>
      </c>
      <c r="H12" s="120">
        <f>H10/H8*100</f>
        <v>61.604267784681952</v>
      </c>
      <c r="I12" s="38"/>
      <c r="J12" s="131"/>
      <c r="K12" s="10"/>
      <c r="L12" s="6"/>
      <c r="M12" s="60"/>
    </row>
    <row r="13" spans="1:13" ht="18.75" x14ac:dyDescent="0.3">
      <c r="A13" s="89">
        <v>10</v>
      </c>
      <c r="B13" s="2" t="s">
        <v>71</v>
      </c>
      <c r="C13" s="25">
        <v>34894</v>
      </c>
      <c r="D13" s="25">
        <f>C13/C10*D10</f>
        <v>37932.564879510472</v>
      </c>
      <c r="E13" s="95">
        <f t="shared" si="0"/>
        <v>108.70798670118207</v>
      </c>
      <c r="F13" s="113"/>
      <c r="G13" s="38">
        <f t="shared" si="1"/>
        <v>0</v>
      </c>
      <c r="H13" s="113"/>
      <c r="I13" s="38"/>
      <c r="J13" s="131"/>
      <c r="K13" s="10"/>
      <c r="L13" s="6"/>
      <c r="M13" s="60"/>
    </row>
    <row r="14" spans="1:13" ht="37.5" x14ac:dyDescent="0.3">
      <c r="A14" s="89">
        <v>11</v>
      </c>
      <c r="B14" s="88" t="s">
        <v>43</v>
      </c>
      <c r="C14" s="85">
        <v>21939442</v>
      </c>
      <c r="D14" s="85">
        <f>D16*D8/100</f>
        <v>28776053.111874551</v>
      </c>
      <c r="E14" s="97">
        <f t="shared" si="0"/>
        <v>131.16128072844583</v>
      </c>
      <c r="F14" s="113">
        <v>18608280</v>
      </c>
      <c r="G14" s="38">
        <f t="shared" si="1"/>
        <v>64.665852289246786</v>
      </c>
      <c r="H14" s="113">
        <f>F16*H8/100</f>
        <v>20619540.914180309</v>
      </c>
      <c r="I14" s="38">
        <f t="shared" ref="I14:I20" si="2">H14/F14*100</f>
        <v>110.80841923154804</v>
      </c>
      <c r="J14" s="131">
        <f>H16*J8/100</f>
        <v>14019945.250023425</v>
      </c>
      <c r="K14" s="10"/>
      <c r="L14" s="6">
        <f>J14*K15/100</f>
        <v>13732961.93085999</v>
      </c>
      <c r="M14" s="60"/>
    </row>
    <row r="15" spans="1:13" ht="18.75" x14ac:dyDescent="0.3">
      <c r="A15" s="89">
        <v>12</v>
      </c>
      <c r="B15" s="6" t="s">
        <v>44</v>
      </c>
      <c r="C15" s="6">
        <v>3949097</v>
      </c>
      <c r="D15" s="6">
        <f>D14*18/100</f>
        <v>5179689.560137419</v>
      </c>
      <c r="E15" s="95">
        <f t="shared" si="0"/>
        <v>131.16136575367531</v>
      </c>
      <c r="F15" s="113">
        <v>3349488</v>
      </c>
      <c r="G15" s="38">
        <f t="shared" si="1"/>
        <v>64.66580595442359</v>
      </c>
      <c r="H15" s="113">
        <f>H14*18/100</f>
        <v>3711517.3645524555</v>
      </c>
      <c r="I15" s="38">
        <f t="shared" si="2"/>
        <v>110.80849862881897</v>
      </c>
      <c r="J15" s="131">
        <f>J14*17/100</f>
        <v>2383390.6925039822</v>
      </c>
      <c r="K15" s="10">
        <f>(E15*G15*I15)^(1/3)</f>
        <v>97.953035378915231</v>
      </c>
      <c r="L15" s="123">
        <f>L14*17/100</f>
        <v>2334603.5282461983</v>
      </c>
      <c r="M15" s="60"/>
    </row>
    <row r="16" spans="1:13" ht="18.75" x14ac:dyDescent="0.3">
      <c r="A16" s="89">
        <v>13</v>
      </c>
      <c r="B16" s="1" t="s">
        <v>45</v>
      </c>
      <c r="C16" s="13">
        <f>C14/C31*100</f>
        <v>9.9457388123175718</v>
      </c>
      <c r="D16" s="73">
        <v>12</v>
      </c>
      <c r="E16" s="95">
        <f t="shared" si="0"/>
        <v>120.65468665976098</v>
      </c>
      <c r="F16" s="120">
        <f>F14/F31*100</f>
        <v>8.0134392932239109</v>
      </c>
      <c r="G16" s="38">
        <f t="shared" si="1"/>
        <v>66.778660776865934</v>
      </c>
      <c r="H16" s="120">
        <f>H14/H8*100</f>
        <v>8.0134392932239109</v>
      </c>
      <c r="I16" s="38"/>
      <c r="J16" s="131"/>
      <c r="K16" s="10"/>
      <c r="L16" s="6"/>
      <c r="M16" s="60"/>
    </row>
    <row r="17" spans="1:13" ht="56.25" x14ac:dyDescent="0.3">
      <c r="A17" s="89">
        <v>14</v>
      </c>
      <c r="B17" s="86" t="s">
        <v>46</v>
      </c>
      <c r="C17" s="85">
        <v>12637</v>
      </c>
      <c r="D17" s="85">
        <f>C19*D8/100</f>
        <v>13737.428279428375</v>
      </c>
      <c r="E17" s="97">
        <f t="shared" si="0"/>
        <v>108.70798670118205</v>
      </c>
      <c r="F17" s="113">
        <v>738</v>
      </c>
      <c r="G17" s="38">
        <f t="shared" si="1"/>
        <v>5.3721845529497365</v>
      </c>
      <c r="H17" s="113"/>
      <c r="I17" s="38"/>
      <c r="J17" s="131"/>
      <c r="K17" s="10"/>
      <c r="L17" s="6"/>
      <c r="M17" s="60"/>
    </row>
    <row r="18" spans="1:13" ht="18.75" x14ac:dyDescent="0.3">
      <c r="A18" s="89">
        <v>15</v>
      </c>
      <c r="B18" s="1" t="s">
        <v>44</v>
      </c>
      <c r="C18" s="6">
        <v>2275</v>
      </c>
      <c r="D18" s="6">
        <f>D17*18/100</f>
        <v>2472.7370902971074</v>
      </c>
      <c r="E18" s="95">
        <f t="shared" si="0"/>
        <v>108.69174023283989</v>
      </c>
      <c r="F18" s="113">
        <v>132</v>
      </c>
      <c r="G18" s="38">
        <f t="shared" si="1"/>
        <v>5.3382140995887184</v>
      </c>
      <c r="H18" s="113"/>
      <c r="I18" s="38"/>
      <c r="J18" s="131"/>
      <c r="K18" s="10"/>
      <c r="L18" s="6">
        <f>L8</f>
        <v>262437431.07039291</v>
      </c>
      <c r="M18" s="60"/>
    </row>
    <row r="19" spans="1:13" ht="18.75" x14ac:dyDescent="0.3">
      <c r="A19" s="89">
        <v>16</v>
      </c>
      <c r="B19" s="1" t="s">
        <v>47</v>
      </c>
      <c r="C19" s="84">
        <v>5.7286917949534522E-3</v>
      </c>
      <c r="D19" s="84">
        <f>C19</f>
        <v>5.7286917949534522E-3</v>
      </c>
      <c r="E19" s="95">
        <f t="shared" si="0"/>
        <v>100</v>
      </c>
      <c r="F19" s="113"/>
      <c r="G19" s="38">
        <f t="shared" si="1"/>
        <v>0</v>
      </c>
      <c r="H19" s="113"/>
      <c r="I19" s="38"/>
      <c r="J19" s="131"/>
      <c r="K19" s="10"/>
      <c r="L19" s="6"/>
      <c r="M19" s="60"/>
    </row>
    <row r="20" spans="1:13" ht="37.5" x14ac:dyDescent="0.3">
      <c r="A20" s="89">
        <v>17</v>
      </c>
      <c r="B20" s="86" t="s">
        <v>48</v>
      </c>
      <c r="C20" s="85">
        <v>64755035</v>
      </c>
      <c r="D20" s="85">
        <f>C23*D8/100</f>
        <v>70393894.836145788</v>
      </c>
      <c r="E20" s="97">
        <f t="shared" si="0"/>
        <v>108.70798670118207</v>
      </c>
      <c r="F20" s="113">
        <v>70551018</v>
      </c>
      <c r="G20" s="38">
        <f t="shared" si="1"/>
        <v>100.22320566892901</v>
      </c>
      <c r="H20" s="113">
        <f>F23*H8/100</f>
        <v>78176467.797564939</v>
      </c>
      <c r="I20" s="38">
        <f t="shared" si="2"/>
        <v>110.80841923154807</v>
      </c>
      <c r="J20" s="131">
        <f>H23*J8/100</f>
        <v>53154907.906234063</v>
      </c>
      <c r="K20" s="10"/>
      <c r="L20" s="6">
        <f>J20*K21/100</f>
        <v>56567085.131806165</v>
      </c>
      <c r="M20" s="60"/>
    </row>
    <row r="21" spans="1:13" ht="18.75" x14ac:dyDescent="0.3">
      <c r="A21" s="89">
        <v>18</v>
      </c>
      <c r="B21" s="1" t="s">
        <v>44</v>
      </c>
      <c r="C21" s="6">
        <v>11255489</v>
      </c>
      <c r="D21" s="6">
        <f>D20*18/100</f>
        <v>12670901.070506241</v>
      </c>
      <c r="E21" s="95">
        <f t="shared" si="0"/>
        <v>112.57530499568912</v>
      </c>
      <c r="F21" s="113">
        <v>12242945</v>
      </c>
      <c r="G21" s="38">
        <f t="shared" si="1"/>
        <v>96.622528515336739</v>
      </c>
      <c r="H21" s="113">
        <f>F21*I21/100</f>
        <v>13565183.060000001</v>
      </c>
      <c r="I21" s="38">
        <v>110.8</v>
      </c>
      <c r="J21" s="131"/>
      <c r="K21" s="10">
        <f>(E21*G21*I21)^(1/3)</f>
        <v>106.41930794347574</v>
      </c>
      <c r="L21" s="6">
        <f>L20*17/100</f>
        <v>9616404.4724070486</v>
      </c>
      <c r="M21" s="60"/>
    </row>
    <row r="22" spans="1:13" ht="18.75" x14ac:dyDescent="0.3">
      <c r="A22" s="89">
        <v>19</v>
      </c>
      <c r="B22" s="1" t="s">
        <v>49</v>
      </c>
      <c r="C22" s="6">
        <v>399955</v>
      </c>
      <c r="D22" s="6">
        <f>C22/C21*D21</f>
        <v>450250.56109550851</v>
      </c>
      <c r="E22" s="95">
        <f t="shared" si="0"/>
        <v>112.57530499568915</v>
      </c>
      <c r="F22" s="113"/>
      <c r="G22" s="43"/>
      <c r="H22" s="113"/>
      <c r="I22" s="38"/>
      <c r="J22" s="131"/>
      <c r="K22" s="10"/>
      <c r="L22" s="6"/>
      <c r="M22" s="60"/>
    </row>
    <row r="23" spans="1:13" ht="18.75" x14ac:dyDescent="0.3">
      <c r="A23" s="89">
        <v>20</v>
      </c>
      <c r="B23" s="7" t="s">
        <v>73</v>
      </c>
      <c r="C23" s="13">
        <f>C20/C31*100</f>
        <v>29.355198044347837</v>
      </c>
      <c r="D23" s="13">
        <f>C23</f>
        <v>29.355198044347837</v>
      </c>
      <c r="E23" s="95">
        <f t="shared" si="0"/>
        <v>100</v>
      </c>
      <c r="F23" s="120">
        <f>F20/F31*100</f>
        <v>30.381975110980029</v>
      </c>
      <c r="G23" s="43"/>
      <c r="H23" s="120">
        <f>H20/H8*100</f>
        <v>30.381975110980029</v>
      </c>
      <c r="I23" s="38"/>
      <c r="J23" s="131"/>
      <c r="K23" s="10"/>
      <c r="L23" s="6"/>
      <c r="M23" s="60"/>
    </row>
    <row r="24" spans="1:13" ht="37.5" x14ac:dyDescent="0.3">
      <c r="A24" s="89">
        <v>21</v>
      </c>
      <c r="B24" s="19" t="s">
        <v>74</v>
      </c>
      <c r="C24" s="80">
        <v>26640481</v>
      </c>
      <c r="D24" s="80">
        <f>C29*D20/100</f>
        <v>28960330.542610936</v>
      </c>
      <c r="E24" s="96">
        <f t="shared" si="0"/>
        <v>108.70798670118207</v>
      </c>
      <c r="F24" s="113"/>
      <c r="G24" s="43"/>
      <c r="H24" s="113"/>
      <c r="I24" s="43"/>
      <c r="J24" s="131"/>
      <c r="K24" s="10"/>
      <c r="L24" s="6"/>
      <c r="M24" s="60"/>
    </row>
    <row r="25" spans="1:13" ht="18.75" x14ac:dyDescent="0.3">
      <c r="A25" s="89">
        <v>22</v>
      </c>
      <c r="B25" s="18" t="s">
        <v>52</v>
      </c>
      <c r="C25" s="80">
        <v>4395331</v>
      </c>
      <c r="D25" s="80">
        <f>D24*18/100</f>
        <v>5212859.4976699688</v>
      </c>
      <c r="E25" s="96">
        <f t="shared" si="0"/>
        <v>118.59993019114985</v>
      </c>
      <c r="F25" s="113"/>
      <c r="G25" s="43"/>
      <c r="H25" s="113"/>
      <c r="I25" s="43"/>
      <c r="J25" s="131"/>
      <c r="K25" s="10"/>
      <c r="L25" s="6">
        <v>3290978</v>
      </c>
      <c r="M25" s="60"/>
    </row>
    <row r="26" spans="1:13" ht="18.75" x14ac:dyDescent="0.3">
      <c r="A26" s="89">
        <v>23</v>
      </c>
      <c r="B26" s="18" t="s">
        <v>30</v>
      </c>
      <c r="C26" s="80">
        <v>53</v>
      </c>
      <c r="D26" s="80">
        <v>50</v>
      </c>
      <c r="E26" s="96">
        <f t="shared" si="0"/>
        <v>94.339622641509436</v>
      </c>
      <c r="F26" s="113"/>
      <c r="G26" s="43"/>
      <c r="H26" s="113"/>
      <c r="I26" s="43"/>
      <c r="J26" s="131"/>
      <c r="K26" s="10"/>
      <c r="L26" s="6"/>
      <c r="M26" s="60"/>
    </row>
    <row r="27" spans="1:13" ht="56.25" x14ac:dyDescent="0.3">
      <c r="A27" s="89">
        <v>24</v>
      </c>
      <c r="B27" s="19" t="s">
        <v>31</v>
      </c>
      <c r="C27" s="80"/>
      <c r="D27" s="81">
        <v>0.94339622641509435</v>
      </c>
      <c r="E27" s="96"/>
      <c r="F27" s="113"/>
      <c r="G27" s="43"/>
      <c r="H27" s="113"/>
      <c r="I27" s="43"/>
      <c r="J27" s="131"/>
      <c r="K27" s="10"/>
      <c r="L27" s="6"/>
      <c r="M27" s="60"/>
    </row>
    <row r="28" spans="1:13" ht="56.25" x14ac:dyDescent="0.3">
      <c r="A28" s="89">
        <v>25</v>
      </c>
      <c r="B28" s="33" t="s">
        <v>32</v>
      </c>
      <c r="C28" s="80"/>
      <c r="D28" s="80">
        <f>D24*D27</f>
        <v>27321066.549632959</v>
      </c>
      <c r="E28" s="96"/>
      <c r="F28" s="113"/>
      <c r="G28" s="43"/>
      <c r="H28" s="113"/>
      <c r="I28" s="43"/>
      <c r="J28" s="131"/>
      <c r="K28" s="10"/>
      <c r="L28" s="6"/>
      <c r="M28" s="60"/>
    </row>
    <row r="29" spans="1:13" ht="37.5" x14ac:dyDescent="0.3">
      <c r="A29" s="89">
        <v>26</v>
      </c>
      <c r="B29" s="82" t="s">
        <v>84</v>
      </c>
      <c r="C29" s="20">
        <f>C24/C20*100</f>
        <v>41.140400897011332</v>
      </c>
      <c r="D29" s="83">
        <f>D28/D20*100</f>
        <v>38.811698959444655</v>
      </c>
      <c r="E29" s="96">
        <f t="shared" si="0"/>
        <v>94.339622641509436</v>
      </c>
      <c r="F29" s="113"/>
      <c r="G29" s="43"/>
      <c r="H29" s="113"/>
      <c r="I29" s="43"/>
      <c r="J29" s="131"/>
      <c r="K29" s="10"/>
      <c r="L29" s="6"/>
      <c r="M29" s="60"/>
    </row>
    <row r="30" spans="1:13" ht="75" x14ac:dyDescent="0.3">
      <c r="A30" s="89">
        <v>27</v>
      </c>
      <c r="B30" s="19" t="s">
        <v>78</v>
      </c>
      <c r="C30" s="80"/>
      <c r="D30" s="79">
        <f>D24-D28</f>
        <v>1639263.9929779768</v>
      </c>
      <c r="E30" s="96"/>
      <c r="F30" s="113"/>
      <c r="G30" s="43"/>
      <c r="H30" s="113"/>
      <c r="I30" s="43"/>
      <c r="J30" s="131"/>
      <c r="K30" s="10"/>
      <c r="L30" s="6"/>
      <c r="M30" s="60"/>
    </row>
    <row r="31" spans="1:13" ht="56.25" x14ac:dyDescent="0.3">
      <c r="A31" s="89">
        <v>28</v>
      </c>
      <c r="B31" s="86" t="s">
        <v>83</v>
      </c>
      <c r="C31" s="85">
        <v>220591375</v>
      </c>
      <c r="D31" s="85">
        <f>D10+D14+D17+D20-D30</f>
        <v>243087306.02617767</v>
      </c>
      <c r="E31" s="98">
        <f t="shared" si="0"/>
        <v>110.19801024685469</v>
      </c>
      <c r="F31" s="113">
        <f>F10+F14+F17+F20</f>
        <v>232213402</v>
      </c>
      <c r="G31" s="38">
        <f>F31/D31*100</f>
        <v>95.526749543636527</v>
      </c>
      <c r="H31" s="113">
        <f>H8</f>
        <v>257312000</v>
      </c>
      <c r="I31" s="43"/>
      <c r="J31" s="131">
        <f>J8</f>
        <v>174955406</v>
      </c>
      <c r="K31" s="10"/>
      <c r="L31" s="6">
        <f>L18</f>
        <v>262437431.07039291</v>
      </c>
      <c r="M31" s="60"/>
    </row>
    <row r="32" spans="1:13" ht="18.75" x14ac:dyDescent="0.3">
      <c r="A32" s="89">
        <v>29</v>
      </c>
      <c r="B32" s="1" t="s">
        <v>44</v>
      </c>
      <c r="C32" s="6">
        <v>39271042</v>
      </c>
      <c r="D32" s="6">
        <f>D31*18/100</f>
        <v>43755715.084711984</v>
      </c>
      <c r="E32" s="95">
        <f t="shared" si="0"/>
        <v>111.4197965124327</v>
      </c>
      <c r="F32" s="113"/>
      <c r="G32" s="43"/>
      <c r="H32" s="113"/>
      <c r="I32" s="43"/>
      <c r="J32" s="131"/>
      <c r="K32" s="10"/>
      <c r="L32" s="6"/>
      <c r="M32" s="60"/>
    </row>
    <row r="33" spans="1:13" ht="18.75" x14ac:dyDescent="0.3">
      <c r="A33" s="89">
        <v>30</v>
      </c>
      <c r="B33" s="87" t="s">
        <v>75</v>
      </c>
      <c r="C33" s="85">
        <v>220591375</v>
      </c>
      <c r="D33" s="85">
        <f>D31</f>
        <v>243087306.02617767</v>
      </c>
      <c r="E33" s="98">
        <f t="shared" si="0"/>
        <v>110.19801024685469</v>
      </c>
      <c r="F33" s="113"/>
      <c r="G33" s="43"/>
      <c r="H33" s="113">
        <f>H11+H15+H21</f>
        <v>45766920.484552458</v>
      </c>
      <c r="I33" s="43"/>
      <c r="J33" s="131"/>
      <c r="K33" s="10"/>
      <c r="L33" s="6"/>
      <c r="M33" s="60"/>
    </row>
    <row r="34" spans="1:13" ht="37.5" x14ac:dyDescent="0.3">
      <c r="A34" s="89">
        <v>31</v>
      </c>
      <c r="B34" s="7" t="s">
        <v>76</v>
      </c>
      <c r="C34" s="6">
        <v>39706447.5</v>
      </c>
      <c r="D34" s="6">
        <f>D33*18/100</f>
        <v>43755715.084711984</v>
      </c>
      <c r="E34" s="95">
        <f t="shared" si="0"/>
        <v>110.19801024685469</v>
      </c>
      <c r="F34" s="113">
        <f>F31*18/100</f>
        <v>41798412.359999999</v>
      </c>
      <c r="G34" s="43"/>
      <c r="H34" s="113">
        <f>H33</f>
        <v>45766920.484552458</v>
      </c>
      <c r="I34" s="43"/>
      <c r="J34" s="131">
        <f>J36+J35</f>
        <v>52831430.526315786</v>
      </c>
      <c r="K34" s="10"/>
      <c r="L34" s="6">
        <f>L31*17/100</f>
        <v>44614363.281966791</v>
      </c>
      <c r="M34" s="60"/>
    </row>
    <row r="35" spans="1:13" ht="18.75" x14ac:dyDescent="0.3">
      <c r="A35" s="89">
        <v>32</v>
      </c>
      <c r="B35" s="26" t="s">
        <v>60</v>
      </c>
      <c r="C35" s="25">
        <v>434849</v>
      </c>
      <c r="D35" s="25">
        <f>D13+D22</f>
        <v>488183.12597501901</v>
      </c>
      <c r="E35" s="95">
        <f t="shared" si="0"/>
        <v>112.26497611240201</v>
      </c>
      <c r="F35" s="113">
        <f>456234+36357</f>
        <v>492591</v>
      </c>
      <c r="G35" s="43">
        <f>F35/D35*100</f>
        <v>100.90291404812024</v>
      </c>
      <c r="H35" s="113">
        <f>F35*101/100</f>
        <v>497516.91</v>
      </c>
      <c r="I35" s="43"/>
      <c r="J35" s="131">
        <v>500000</v>
      </c>
      <c r="K35" s="10"/>
      <c r="L35" s="6">
        <f>J35</f>
        <v>500000</v>
      </c>
      <c r="M35" s="60"/>
    </row>
    <row r="36" spans="1:13" ht="37.5" x14ac:dyDescent="0.3">
      <c r="A36" s="89">
        <v>33</v>
      </c>
      <c r="B36" s="7" t="s">
        <v>77</v>
      </c>
      <c r="C36" s="6">
        <v>39271598.5</v>
      </c>
      <c r="D36" s="6">
        <f>D34-D35</f>
        <v>43267531.958736964</v>
      </c>
      <c r="E36" s="95">
        <f t="shared" si="0"/>
        <v>110.17512301857781</v>
      </c>
      <c r="F36" s="113">
        <f>F34-F35</f>
        <v>41305821.359999999</v>
      </c>
      <c r="G36" s="43"/>
      <c r="H36" s="113">
        <f>H34-H35</f>
        <v>45269403.574552462</v>
      </c>
      <c r="I36" s="43"/>
      <c r="J36" s="131">
        <f>J38/J37*100</f>
        <v>52331430.526315786</v>
      </c>
      <c r="K36" s="10"/>
      <c r="L36" s="6">
        <f>L34-L35</f>
        <v>44114363.281966791</v>
      </c>
      <c r="M36" s="60"/>
    </row>
    <row r="37" spans="1:13" ht="18.75" x14ac:dyDescent="0.3">
      <c r="A37" s="89">
        <v>34</v>
      </c>
      <c r="B37" s="1" t="s">
        <v>55</v>
      </c>
      <c r="C37" s="6">
        <v>94.839251323064929</v>
      </c>
      <c r="D37" s="6">
        <v>95</v>
      </c>
      <c r="E37" s="95">
        <f t="shared" si="0"/>
        <v>100.16949593622107</v>
      </c>
      <c r="F37" s="113">
        <v>95</v>
      </c>
      <c r="G37" s="43"/>
      <c r="H37" s="113">
        <v>95</v>
      </c>
      <c r="I37" s="43"/>
      <c r="J37" s="131">
        <v>95</v>
      </c>
      <c r="K37" s="10"/>
      <c r="L37" s="6">
        <v>95</v>
      </c>
      <c r="M37" s="60"/>
    </row>
    <row r="38" spans="1:13" ht="18.75" x14ac:dyDescent="0.3">
      <c r="A38" s="89">
        <v>35</v>
      </c>
      <c r="B38" s="2" t="s">
        <v>56</v>
      </c>
      <c r="C38" s="25">
        <v>37244890</v>
      </c>
      <c r="D38" s="25">
        <f>D36*D37/100</f>
        <v>41104155.360800117</v>
      </c>
      <c r="E38" s="99">
        <f t="shared" si="0"/>
        <v>110.36186537482087</v>
      </c>
      <c r="F38" s="113">
        <f>F36*F37/100</f>
        <v>39240530.291999996</v>
      </c>
      <c r="G38" s="38">
        <f>F38/D38*100</f>
        <v>95.466090830861816</v>
      </c>
      <c r="H38" s="113">
        <f>H36*H37/100</f>
        <v>43005933.395824842</v>
      </c>
      <c r="I38" s="38">
        <f>H38/F38*100</f>
        <v>109.59569882416321</v>
      </c>
      <c r="J38" s="131">
        <v>49714859</v>
      </c>
      <c r="K38" s="10"/>
      <c r="L38" s="6">
        <f>L36*L37/100</f>
        <v>41908645.117868453</v>
      </c>
      <c r="M38" s="60"/>
    </row>
    <row r="39" spans="1:13" ht="18.75" x14ac:dyDescent="0.3">
      <c r="A39" s="89">
        <v>36</v>
      </c>
      <c r="B39" s="2" t="s">
        <v>58</v>
      </c>
      <c r="C39" s="25">
        <f>C38*95/100</f>
        <v>35382645.5</v>
      </c>
      <c r="D39" s="25">
        <f>D38*95/100</f>
        <v>39048947.592760108</v>
      </c>
      <c r="E39" s="99">
        <f t="shared" si="0"/>
        <v>110.36186537482084</v>
      </c>
      <c r="F39" s="113">
        <f>F38*95/100</f>
        <v>37278503.777399994</v>
      </c>
      <c r="G39" s="43"/>
      <c r="H39" s="113">
        <f>H38*95/100</f>
        <v>40855636.726033598</v>
      </c>
      <c r="I39" s="43"/>
      <c r="J39" s="131"/>
      <c r="K39" s="10"/>
      <c r="L39" s="6"/>
      <c r="M39" s="60"/>
    </row>
    <row r="40" spans="1:13" ht="19.5" thickBot="1" x14ac:dyDescent="0.35">
      <c r="A40" s="91"/>
      <c r="B40" s="92"/>
      <c r="C40" s="92"/>
      <c r="D40" s="92"/>
      <c r="E40" s="100"/>
      <c r="F40" s="114"/>
      <c r="G40" s="115"/>
      <c r="H40" s="114"/>
      <c r="I40" s="115"/>
      <c r="J40" s="132"/>
      <c r="K40" s="132"/>
      <c r="L40" s="6"/>
      <c r="M40" s="60"/>
    </row>
    <row r="41" spans="1:13" ht="18.75" x14ac:dyDescent="0.3">
      <c r="A41" s="60"/>
      <c r="B41" s="2" t="s">
        <v>99</v>
      </c>
      <c r="C41" s="1"/>
      <c r="D41" s="25">
        <f>F41</f>
        <v>45993718</v>
      </c>
      <c r="E41" s="1"/>
      <c r="F41" s="25">
        <v>45993718</v>
      </c>
      <c r="G41" s="1"/>
      <c r="H41" s="1"/>
      <c r="I41" s="1"/>
      <c r="J41" s="6"/>
      <c r="K41" s="10"/>
      <c r="L41" s="6"/>
      <c r="M41" s="60"/>
    </row>
    <row r="42" spans="1:13" ht="56.25" x14ac:dyDescent="0.3">
      <c r="A42" s="60"/>
      <c r="B42" s="26" t="s">
        <v>96</v>
      </c>
      <c r="C42" s="7"/>
      <c r="D42" s="6">
        <f>D44+D45+D46</f>
        <v>6412248.2362848185</v>
      </c>
      <c r="E42" s="1"/>
      <c r="F42" s="6">
        <f>F44+F45+F46</f>
        <v>6121522.7255519992</v>
      </c>
      <c r="G42" s="1"/>
      <c r="H42" s="6">
        <f>H44+H45+H46</f>
        <v>6708925.6097486755</v>
      </c>
      <c r="I42" s="22">
        <f>H42/F42*100</f>
        <v>109.59569882416321</v>
      </c>
      <c r="J42" s="6"/>
      <c r="K42" s="10"/>
      <c r="L42" s="6">
        <f>L44+L45+L46</f>
        <v>6537748.638387478</v>
      </c>
      <c r="M42" s="60"/>
    </row>
    <row r="43" spans="1:13" ht="18.75" x14ac:dyDescent="0.3">
      <c r="A43" s="60"/>
      <c r="B43" s="1"/>
      <c r="C43" s="1"/>
      <c r="D43" s="1"/>
      <c r="E43" s="1" t="s">
        <v>102</v>
      </c>
      <c r="F43" s="22"/>
      <c r="G43" s="1" t="s">
        <v>102</v>
      </c>
      <c r="H43" s="1"/>
      <c r="I43" s="1" t="s">
        <v>102</v>
      </c>
      <c r="J43" s="6"/>
      <c r="K43" s="10"/>
      <c r="L43" s="6"/>
      <c r="M43" s="60"/>
    </row>
    <row r="44" spans="1:13" ht="37.5" x14ac:dyDescent="0.3">
      <c r="A44" s="60"/>
      <c r="B44" s="15" t="s">
        <v>95</v>
      </c>
      <c r="C44" s="15"/>
      <c r="D44" s="16">
        <f>D38*12/100</f>
        <v>4932498.6432960145</v>
      </c>
      <c r="E44" s="126">
        <f>G44</f>
        <v>12</v>
      </c>
      <c r="F44" s="16">
        <f>F38*12/100</f>
        <v>4708863.6350399991</v>
      </c>
      <c r="G44" s="126">
        <f>F44/F38*100</f>
        <v>12</v>
      </c>
      <c r="H44" s="16">
        <f>H38*12/100</f>
        <v>5160712.0074989805</v>
      </c>
      <c r="I44" s="126">
        <f>G44</f>
        <v>12</v>
      </c>
      <c r="J44" s="16">
        <f>J38*I44/100</f>
        <v>5965783.0800000001</v>
      </c>
      <c r="K44" s="17"/>
      <c r="L44" s="6">
        <f>L38*I44/100</f>
        <v>5029037.4141442142</v>
      </c>
      <c r="M44" s="60"/>
    </row>
    <row r="45" spans="1:13" ht="37.5" x14ac:dyDescent="0.3">
      <c r="A45" s="60"/>
      <c r="B45" s="15" t="s">
        <v>89</v>
      </c>
      <c r="C45" s="125"/>
      <c r="D45" s="16">
        <f>D38*2/100</f>
        <v>822083.1072160023</v>
      </c>
      <c r="E45" s="126">
        <f>G45</f>
        <v>1.9999999999999998</v>
      </c>
      <c r="F45" s="16">
        <f>F38*2/100</f>
        <v>784810.60583999986</v>
      </c>
      <c r="G45" s="126">
        <f>F45/F38*100</f>
        <v>1.9999999999999998</v>
      </c>
      <c r="H45" s="16">
        <f>H38*2/100</f>
        <v>860118.66791649687</v>
      </c>
      <c r="I45" s="126">
        <f>G45</f>
        <v>1.9999999999999998</v>
      </c>
      <c r="J45" s="16">
        <f>J38*I45/100</f>
        <v>994297.17999999982</v>
      </c>
      <c r="K45" s="17"/>
      <c r="L45" s="6">
        <f>L38*I45/100</f>
        <v>838172.90235736896</v>
      </c>
      <c r="M45" s="60"/>
    </row>
    <row r="46" spans="1:13" ht="18.75" x14ac:dyDescent="0.3">
      <c r="A46" s="60"/>
      <c r="B46" s="15" t="s">
        <v>90</v>
      </c>
      <c r="C46" s="125"/>
      <c r="D46" s="16">
        <f>D38*G46/100</f>
        <v>657666.48577280191</v>
      </c>
      <c r="E46" s="126">
        <f>G46</f>
        <v>1.6</v>
      </c>
      <c r="F46" s="16">
        <f>F38*G46/100</f>
        <v>627848.48467199993</v>
      </c>
      <c r="G46" s="126">
        <v>1.6</v>
      </c>
      <c r="H46" s="16">
        <f>H38*G46/100</f>
        <v>688094.93433319742</v>
      </c>
      <c r="I46" s="126">
        <f>G46</f>
        <v>1.6</v>
      </c>
      <c r="J46" s="16">
        <f>J38*I46/100</f>
        <v>795437.74400000006</v>
      </c>
      <c r="K46" s="17"/>
      <c r="L46" s="6">
        <f>L38*I46/100</f>
        <v>670538.32188589533</v>
      </c>
      <c r="M46" s="60"/>
    </row>
    <row r="47" spans="1:13" ht="18.75" x14ac:dyDescent="0.3">
      <c r="A47" s="60"/>
      <c r="B47" s="1"/>
      <c r="C47" s="1"/>
      <c r="D47" s="1"/>
      <c r="E47" s="1"/>
      <c r="F47" s="1"/>
      <c r="G47" s="1"/>
      <c r="H47" s="1"/>
      <c r="I47" s="1"/>
      <c r="J47" s="6"/>
      <c r="K47" s="10"/>
      <c r="L47" s="6"/>
      <c r="M47" s="60"/>
    </row>
    <row r="48" spans="1:13" ht="37.5" x14ac:dyDescent="0.3">
      <c r="A48" s="60"/>
      <c r="B48" s="7" t="s">
        <v>93</v>
      </c>
      <c r="C48" s="7"/>
      <c r="D48" s="25">
        <f>D38+D44+D45+D46</f>
        <v>47516403.597084939</v>
      </c>
      <c r="E48" s="1"/>
      <c r="F48" s="25">
        <f>F38+F44+F45+F46</f>
        <v>45362053.017551996</v>
      </c>
      <c r="G48" s="1"/>
      <c r="H48" s="127">
        <f>H38+H44+H45+H46</f>
        <v>49714859.005573519</v>
      </c>
      <c r="I48" s="1"/>
      <c r="J48" s="6">
        <v>51905868</v>
      </c>
      <c r="K48" s="10"/>
      <c r="L48" s="6">
        <f>L38+L44+L45+L46</f>
        <v>48446393.75625594</v>
      </c>
      <c r="M48" s="60">
        <f>L48/J48*100</f>
        <v>93.335099908657611</v>
      </c>
    </row>
    <row r="49" spans="1:13" ht="18.75" x14ac:dyDescent="0.3">
      <c r="A49" s="60"/>
      <c r="B49" s="1" t="s">
        <v>97</v>
      </c>
      <c r="C49" s="1"/>
      <c r="D49" s="122">
        <f>F41/D48*100</f>
        <v>96.795452766171991</v>
      </c>
      <c r="E49" s="1"/>
      <c r="F49" s="122">
        <f>F41/F48*100</f>
        <v>101.39249645998957</v>
      </c>
      <c r="G49" s="1"/>
      <c r="H49" s="1"/>
      <c r="I49" s="1"/>
      <c r="J49" s="6">
        <f>J48/H48*100</f>
        <v>104.40715117824402</v>
      </c>
      <c r="K49" s="10"/>
      <c r="L49" s="21"/>
      <c r="M49" s="60"/>
    </row>
    <row r="50" spans="1:13" x14ac:dyDescent="0.25">
      <c r="H50" s="30"/>
    </row>
    <row r="51" spans="1:13" x14ac:dyDescent="0.25">
      <c r="B51" t="s">
        <v>98</v>
      </c>
    </row>
    <row r="52" spans="1:13" x14ac:dyDescent="0.25">
      <c r="L52" s="30">
        <f>L48*105/100</f>
        <v>50868713.444068737</v>
      </c>
    </row>
    <row r="53" spans="1:13" ht="18.75" x14ac:dyDescent="0.3">
      <c r="B53" t="s">
        <v>103</v>
      </c>
      <c r="H53" s="128">
        <v>49662789</v>
      </c>
      <c r="L53" s="30">
        <f>L48*95/100</f>
        <v>46024074.068443149</v>
      </c>
    </row>
    <row r="54" spans="1:13" x14ac:dyDescent="0.25">
      <c r="L54" s="30"/>
    </row>
    <row r="55" spans="1:13" x14ac:dyDescent="0.25">
      <c r="B55" t="s">
        <v>104</v>
      </c>
      <c r="C55" s="30">
        <v>32272466</v>
      </c>
      <c r="F55" s="30">
        <v>22306322</v>
      </c>
    </row>
    <row r="56" spans="1:13" x14ac:dyDescent="0.25">
      <c r="B56" t="s">
        <v>105</v>
      </c>
      <c r="C56" s="76">
        <f>C55/C38*100</f>
        <v>86.649379283976941</v>
      </c>
      <c r="F56" s="76">
        <f>F55/F41*100</f>
        <v>48.498627573443834</v>
      </c>
    </row>
    <row r="57" spans="1:13" x14ac:dyDescent="0.25">
      <c r="B57" t="s">
        <v>106</v>
      </c>
      <c r="H57" s="30">
        <v>30147279</v>
      </c>
      <c r="I57" s="76">
        <f>H57/F55*100</f>
        <v>135.15127684429552</v>
      </c>
      <c r="L57" s="30">
        <f>L31*3/100</f>
        <v>7873122.9321117876</v>
      </c>
    </row>
    <row r="58" spans="1:13" x14ac:dyDescent="0.25">
      <c r="B58" t="s">
        <v>107</v>
      </c>
      <c r="C58" s="30">
        <f>C38-C55</f>
        <v>4972424</v>
      </c>
      <c r="F58" s="30">
        <f>F41-F55</f>
        <v>23687396</v>
      </c>
      <c r="L58" s="118">
        <f>L57/4</f>
        <v>1968280.7330279469</v>
      </c>
      <c r="M58">
        <f>L58/1313146*100</f>
        <v>149.89047166331443</v>
      </c>
    </row>
    <row r="59" spans="1:13" x14ac:dyDescent="0.25">
      <c r="B59" t="s">
        <v>105</v>
      </c>
      <c r="C59" s="76">
        <f>C58/C38*100</f>
        <v>13.350620716023057</v>
      </c>
      <c r="F59" s="76">
        <f>F58/F41*100</f>
        <v>51.501372426556166</v>
      </c>
      <c r="H59" s="76">
        <f>H57/H61*100</f>
        <v>60.700409064000681</v>
      </c>
      <c r="I59" s="76">
        <f>(C59*F59*H59)^(1/3)</f>
        <v>34.687310356495239</v>
      </c>
      <c r="L59">
        <v>280000</v>
      </c>
      <c r="M59" t="s">
        <v>111</v>
      </c>
    </row>
    <row r="60" spans="1:13" x14ac:dyDescent="0.25">
      <c r="B60" t="s">
        <v>108</v>
      </c>
      <c r="H60" s="30">
        <f>F58*82.4/100</f>
        <v>19518414.304000001</v>
      </c>
      <c r="I60">
        <f>H60/F58*100</f>
        <v>82.4</v>
      </c>
      <c r="L60">
        <v>3000</v>
      </c>
    </row>
    <row r="61" spans="1:13" x14ac:dyDescent="0.25">
      <c r="H61" s="129">
        <f>H57+H60</f>
        <v>49665693.304000005</v>
      </c>
      <c r="L61" s="118">
        <f>L58+L59+L60</f>
        <v>2251280.7330279471</v>
      </c>
      <c r="M61" t="s">
        <v>112</v>
      </c>
    </row>
    <row r="62" spans="1:13" x14ac:dyDescent="0.25">
      <c r="L62" s="30">
        <f>L61-177638*95/100</f>
        <v>2082524.633027947</v>
      </c>
    </row>
    <row r="63" spans="1:13" x14ac:dyDescent="0.25">
      <c r="B63" t="s">
        <v>109</v>
      </c>
      <c r="H63" s="129">
        <v>51525712</v>
      </c>
      <c r="I63" s="76">
        <f>H63/H48*100</f>
        <v>103.64247838704213</v>
      </c>
      <c r="L63" s="76">
        <f>L61/1639684*100</f>
        <v>137.29967073094249</v>
      </c>
    </row>
    <row r="64" spans="1:13" ht="18.75" x14ac:dyDescent="0.3">
      <c r="B64" t="s">
        <v>110</v>
      </c>
      <c r="H64" s="129">
        <v>52026169</v>
      </c>
      <c r="I64" s="76">
        <f>H64/H48*100</f>
        <v>104.64913315789019</v>
      </c>
      <c r="K64" s="28" t="s">
        <v>121</v>
      </c>
      <c r="L64" s="135" t="s">
        <v>112</v>
      </c>
    </row>
    <row r="65" spans="8:13" ht="18.75" x14ac:dyDescent="0.3">
      <c r="K65" s="135" t="s">
        <v>113</v>
      </c>
      <c r="L65" s="136">
        <v>1732319</v>
      </c>
      <c r="M65" s="135">
        <v>113.8</v>
      </c>
    </row>
    <row r="66" spans="8:13" ht="18.75" x14ac:dyDescent="0.3">
      <c r="J66" s="76">
        <f>L66/L65*100</f>
        <v>108.68852676672138</v>
      </c>
      <c r="K66" s="135" t="s">
        <v>114</v>
      </c>
      <c r="L66" s="136">
        <v>1882832</v>
      </c>
      <c r="M66" s="135">
        <v>219.9</v>
      </c>
    </row>
    <row r="67" spans="8:13" ht="18.75" x14ac:dyDescent="0.3">
      <c r="J67" s="76">
        <f>L67/L66*100</f>
        <v>87.086049100503928</v>
      </c>
      <c r="K67" s="135" t="s">
        <v>115</v>
      </c>
      <c r="L67" s="136">
        <v>1639684</v>
      </c>
      <c r="M67" s="135">
        <v>113.1</v>
      </c>
    </row>
    <row r="68" spans="8:13" ht="18.75" x14ac:dyDescent="0.3">
      <c r="H68" s="30"/>
      <c r="J68" s="76">
        <f>L68/L67*100</f>
        <v>102.12620236582171</v>
      </c>
      <c r="K68" s="135" t="s">
        <v>116</v>
      </c>
      <c r="L68" s="136">
        <v>1674547</v>
      </c>
      <c r="M68" s="135">
        <v>139</v>
      </c>
    </row>
    <row r="69" spans="8:13" ht="18.75" x14ac:dyDescent="0.3">
      <c r="K69" s="135" t="s">
        <v>117</v>
      </c>
      <c r="L69" s="136">
        <v>2033308</v>
      </c>
      <c r="M69" s="135">
        <v>117.4</v>
      </c>
    </row>
    <row r="70" spans="8:13" ht="18.75" x14ac:dyDescent="0.3">
      <c r="K70" s="135" t="s">
        <v>118</v>
      </c>
      <c r="L70" s="136">
        <v>1824538</v>
      </c>
      <c r="M70" s="135">
        <v>96.9</v>
      </c>
    </row>
    <row r="71" spans="8:13" ht="18.75" x14ac:dyDescent="0.3">
      <c r="K71" s="135"/>
      <c r="L71" s="135"/>
      <c r="M71" s="135"/>
    </row>
    <row r="72" spans="8:13" ht="18.75" x14ac:dyDescent="0.3">
      <c r="K72" s="135" t="s">
        <v>119</v>
      </c>
      <c r="L72" s="136">
        <f>(L65+L66+L67+L68)/4</f>
        <v>1732345.5</v>
      </c>
      <c r="M72" s="137">
        <f>(M65*M66*M67*M68*M69*M70)^(1/6)</f>
        <v>128.37273532031563</v>
      </c>
    </row>
    <row r="73" spans="8:13" ht="18.75" x14ac:dyDescent="0.3">
      <c r="K73" s="135" t="s">
        <v>119</v>
      </c>
      <c r="L73" s="136">
        <f>(L69+L70)/2</f>
        <v>1928923</v>
      </c>
      <c r="M73" s="135"/>
    </row>
    <row r="74" spans="8:13" ht="18.75" x14ac:dyDescent="0.3">
      <c r="K74" s="135" t="s">
        <v>120</v>
      </c>
      <c r="L74" s="136">
        <f>L67-177638</f>
        <v>1462046</v>
      </c>
      <c r="M74" s="135"/>
    </row>
    <row r="75" spans="8:13" ht="18.75" x14ac:dyDescent="0.3">
      <c r="J75" s="116">
        <f>L75/L62*100</f>
        <v>90.124669455282003</v>
      </c>
      <c r="K75" s="135" t="s">
        <v>125</v>
      </c>
      <c r="L75" s="134">
        <f>L74*M72/100</f>
        <v>1876868.4418412617</v>
      </c>
      <c r="M75" s="135"/>
    </row>
    <row r="76" spans="8:13" ht="18.75" x14ac:dyDescent="0.3">
      <c r="K76" s="135" t="s">
        <v>122</v>
      </c>
      <c r="L76" s="136">
        <f>L75-L59-L60</f>
        <v>1593868.4418412617</v>
      </c>
      <c r="M76" s="137">
        <f>L76/L67*100</f>
        <v>97.205830016104429</v>
      </c>
    </row>
    <row r="77" spans="8:13" ht="18.75" x14ac:dyDescent="0.3">
      <c r="K77" s="135" t="s">
        <v>123</v>
      </c>
      <c r="L77" s="135">
        <f>L59</f>
        <v>280000</v>
      </c>
      <c r="M77" s="135"/>
    </row>
    <row r="78" spans="8:13" ht="18.75" x14ac:dyDescent="0.3">
      <c r="K78" s="135" t="s">
        <v>124</v>
      </c>
      <c r="L78" s="135">
        <f>L60</f>
        <v>3000</v>
      </c>
      <c r="M78" s="135"/>
    </row>
    <row r="80" spans="8:13" x14ac:dyDescent="0.25">
      <c r="M80" s="76">
        <f>L75/L70*100</f>
        <v>102.86814754426939</v>
      </c>
    </row>
  </sheetData>
  <pageMargins left="0.7" right="0.7" top="0.75" bottom="0.75" header="0.3" footer="0.3"/>
  <pageSetup paperSize="9" scale="68" fitToHeight="0" orientation="landscape" r:id="rId1"/>
  <rowBreaks count="2" manualBreakCount="2">
    <brk id="23" max="12" man="1"/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="60" zoomScaleNormal="100" workbookViewId="0">
      <selection activeCell="G8" sqref="G8"/>
    </sheetView>
  </sheetViews>
  <sheetFormatPr defaultRowHeight="15" x14ac:dyDescent="0.25"/>
  <cols>
    <col min="1" max="1" width="57.7109375" customWidth="1"/>
    <col min="2" max="2" width="22.7109375" customWidth="1"/>
    <col min="3" max="3" width="23.7109375" customWidth="1"/>
    <col min="4" max="4" width="12.85546875" customWidth="1"/>
    <col min="5" max="5" width="21.42578125" customWidth="1"/>
    <col min="6" max="6" width="12.5703125" customWidth="1"/>
    <col min="7" max="7" width="21.7109375" customWidth="1"/>
    <col min="8" max="8" width="9.7109375" customWidth="1"/>
    <col min="9" max="9" width="13.28515625" customWidth="1"/>
    <col min="10" max="10" width="8.7109375" customWidth="1"/>
    <col min="11" max="11" width="12.7109375" customWidth="1"/>
    <col min="12" max="12" width="14.42578125" customWidth="1"/>
  </cols>
  <sheetData>
    <row r="1" spans="1:9" ht="23.25" x14ac:dyDescent="0.35">
      <c r="A1" s="138" t="s">
        <v>126</v>
      </c>
      <c r="B1" s="138"/>
      <c r="C1" s="138"/>
      <c r="D1" s="138"/>
      <c r="E1" s="138"/>
      <c r="F1" s="138"/>
      <c r="G1" s="139"/>
      <c r="H1" s="139"/>
    </row>
    <row r="2" spans="1:9" ht="23.25" x14ac:dyDescent="0.35">
      <c r="A2" s="139"/>
      <c r="B2" s="139"/>
      <c r="C2" s="139"/>
      <c r="D2" s="139"/>
      <c r="E2" s="139"/>
      <c r="F2" s="139"/>
      <c r="G2" s="139"/>
      <c r="H2" s="139"/>
    </row>
    <row r="3" spans="1:9" ht="23.25" x14ac:dyDescent="0.35">
      <c r="A3" s="140" t="s">
        <v>127</v>
      </c>
      <c r="B3" s="140">
        <v>2015</v>
      </c>
      <c r="C3" s="140">
        <v>2016</v>
      </c>
      <c r="D3" s="140" t="s">
        <v>129</v>
      </c>
      <c r="E3" s="140">
        <v>2017</v>
      </c>
      <c r="F3" s="140" t="s">
        <v>129</v>
      </c>
      <c r="G3" s="141">
        <v>2018</v>
      </c>
      <c r="H3" s="140" t="s">
        <v>129</v>
      </c>
    </row>
    <row r="4" spans="1:9" ht="23.25" x14ac:dyDescent="0.35">
      <c r="A4" s="140" t="s">
        <v>128</v>
      </c>
      <c r="B4" s="142">
        <v>1963452700</v>
      </c>
      <c r="C4" s="140">
        <v>2015934700</v>
      </c>
      <c r="D4" s="143">
        <f>C4/B4*100</f>
        <v>102.67294445137385</v>
      </c>
      <c r="E4" s="140">
        <v>2165934700</v>
      </c>
      <c r="F4" s="143">
        <f>E4/C4*100</f>
        <v>107.44071720180222</v>
      </c>
      <c r="G4" s="141">
        <v>2333518200</v>
      </c>
      <c r="H4" s="143">
        <f>G4/E4*100</f>
        <v>107.73723695363483</v>
      </c>
    </row>
    <row r="5" spans="1:9" ht="23.25" x14ac:dyDescent="0.35">
      <c r="A5" s="140" t="s">
        <v>130</v>
      </c>
      <c r="B5" s="140"/>
      <c r="C5" s="140"/>
      <c r="D5" s="143">
        <f>D4/107.1*100</f>
        <v>95.866428059172605</v>
      </c>
      <c r="E5" s="140"/>
      <c r="F5" s="143">
        <f>F4/104*100</f>
        <v>103.30838192480982</v>
      </c>
      <c r="G5" s="141"/>
      <c r="H5" s="143">
        <f>H4/104*100</f>
        <v>103.59349707080273</v>
      </c>
    </row>
    <row r="6" spans="1:9" ht="9" customHeight="1" x14ac:dyDescent="0.35">
      <c r="A6" s="140"/>
      <c r="B6" s="140"/>
      <c r="C6" s="140"/>
      <c r="D6" s="140"/>
      <c r="E6" s="140"/>
      <c r="F6" s="140"/>
      <c r="G6" s="141"/>
      <c r="H6" s="140"/>
    </row>
    <row r="7" spans="1:9" ht="25.9" customHeight="1" x14ac:dyDescent="0.35">
      <c r="A7" s="140" t="s">
        <v>131</v>
      </c>
      <c r="B7" s="140">
        <v>227458760</v>
      </c>
      <c r="C7" s="140">
        <v>275517242</v>
      </c>
      <c r="D7" s="143">
        <f>C7/B7*100</f>
        <v>121.12843752423517</v>
      </c>
      <c r="E7" s="140">
        <v>174955406</v>
      </c>
      <c r="F7" s="143">
        <f>E7/C7*100</f>
        <v>63.500710420148586</v>
      </c>
      <c r="G7" s="141">
        <f>F8*G4/100</f>
        <v>253293110.24786767</v>
      </c>
      <c r="H7" s="140"/>
    </row>
    <row r="8" spans="1:9" ht="23.25" x14ac:dyDescent="0.35">
      <c r="A8" s="140" t="s">
        <v>132</v>
      </c>
      <c r="B8" s="143">
        <f>B7/B4*100</f>
        <v>11.58463150143622</v>
      </c>
      <c r="C8" s="143">
        <f>C7/C4*100</f>
        <v>13.666972546283368</v>
      </c>
      <c r="D8" s="140"/>
      <c r="E8" s="143">
        <f>E7/E4*100</f>
        <v>8.0775937520184709</v>
      </c>
      <c r="F8" s="144">
        <f>(B8*C8*E8)^(1/3)</f>
        <v>10.854559019418303</v>
      </c>
      <c r="G8" s="141"/>
      <c r="H8" s="140"/>
    </row>
    <row r="9" spans="1:9" ht="11.45" customHeight="1" x14ac:dyDescent="0.35">
      <c r="A9" s="140"/>
      <c r="B9" s="140"/>
      <c r="C9" s="140"/>
      <c r="D9" s="140"/>
      <c r="E9" s="140"/>
      <c r="F9" s="140"/>
      <c r="G9" s="141"/>
      <c r="H9" s="140"/>
    </row>
    <row r="10" spans="1:9" ht="25.15" customHeight="1" x14ac:dyDescent="0.35">
      <c r="A10" s="140" t="s">
        <v>133</v>
      </c>
      <c r="B10" s="140">
        <v>21296228</v>
      </c>
      <c r="C10" s="140">
        <v>67639823</v>
      </c>
      <c r="D10" s="140"/>
      <c r="E10" s="140">
        <v>8915329</v>
      </c>
      <c r="F10" s="140"/>
      <c r="G10" s="141">
        <f>F11*G7/100</f>
        <v>26700001.127860814</v>
      </c>
      <c r="H10" s="140"/>
    </row>
    <row r="11" spans="1:9" ht="22.9" customHeight="1" x14ac:dyDescent="0.35">
      <c r="A11" s="140" t="s">
        <v>134</v>
      </c>
      <c r="B11" s="143">
        <f>B10/B7*100</f>
        <v>9.3626765572800981</v>
      </c>
      <c r="C11" s="143">
        <f>C10/C7*100</f>
        <v>24.550123436557918</v>
      </c>
      <c r="D11" s="140"/>
      <c r="E11" s="143">
        <f>E10/E7*100</f>
        <v>5.0957722335256106</v>
      </c>
      <c r="F11" s="144">
        <f>(B11*C11*E11)^(1/3)</f>
        <v>10.541147803717486</v>
      </c>
      <c r="G11" s="141"/>
      <c r="H11" s="140"/>
    </row>
    <row r="12" spans="1:9" ht="23.25" x14ac:dyDescent="0.35">
      <c r="A12" s="140" t="s">
        <v>135</v>
      </c>
      <c r="B12" s="140">
        <f>B7-B10</f>
        <v>206162532</v>
      </c>
      <c r="C12" s="140">
        <f>C7-C10</f>
        <v>207877419</v>
      </c>
      <c r="D12" s="140"/>
      <c r="E12" s="140">
        <f>E7-E10</f>
        <v>166040077</v>
      </c>
      <c r="F12" s="140"/>
      <c r="G12" s="141">
        <f>G7-G10</f>
        <v>226593109.12000686</v>
      </c>
      <c r="H12" s="140">
        <f>G12/E12*100</f>
        <v>136.46892558355466</v>
      </c>
    </row>
    <row r="13" spans="1:9" ht="23.25" x14ac:dyDescent="0.35">
      <c r="A13" s="140" t="s">
        <v>136</v>
      </c>
      <c r="B13" s="140">
        <f>B12*3/100</f>
        <v>6184875.96</v>
      </c>
      <c r="C13" s="140">
        <f>C12*3/100</f>
        <v>6236322.5700000003</v>
      </c>
      <c r="D13" s="140">
        <f>C13/B13*100</f>
        <v>100.83181312499596</v>
      </c>
      <c r="E13" s="140">
        <f>E12*3/100</f>
        <v>4981202.3099999996</v>
      </c>
      <c r="F13" s="140">
        <f>E13/C13*100</f>
        <v>79.874032397910412</v>
      </c>
      <c r="G13" s="141">
        <f>G12*3/100</f>
        <v>6797793.2736002067</v>
      </c>
      <c r="H13" s="140">
        <f>G13/E13*100</f>
        <v>136.46892558355469</v>
      </c>
      <c r="I13" s="30"/>
    </row>
    <row r="14" spans="1:9" ht="23.25" x14ac:dyDescent="0.35">
      <c r="A14" s="140" t="s">
        <v>137</v>
      </c>
      <c r="B14" s="140"/>
      <c r="C14" s="140"/>
      <c r="D14" s="140"/>
      <c r="E14" s="140"/>
      <c r="F14" s="140"/>
      <c r="G14" s="141">
        <f>G13/4</f>
        <v>1699448.3184000517</v>
      </c>
      <c r="H14" s="140"/>
      <c r="I14" s="30"/>
    </row>
    <row r="15" spans="1:9" ht="7.15" customHeight="1" x14ac:dyDescent="0.35">
      <c r="A15" s="140"/>
      <c r="B15" s="140"/>
      <c r="C15" s="140"/>
      <c r="D15" s="140"/>
      <c r="E15" s="140"/>
      <c r="F15" s="140"/>
      <c r="G15" s="141"/>
      <c r="H15" s="140"/>
    </row>
    <row r="16" spans="1:9" ht="27" customHeight="1" x14ac:dyDescent="0.35">
      <c r="A16" s="140" t="s">
        <v>138</v>
      </c>
      <c r="B16" s="140">
        <v>665936</v>
      </c>
      <c r="C16" s="140">
        <v>921922</v>
      </c>
      <c r="D16" s="140"/>
      <c r="E16" s="140">
        <v>1006062</v>
      </c>
      <c r="F16" s="140"/>
      <c r="G16" s="141">
        <f>F17*G7/100</f>
        <v>970988.85245452996</v>
      </c>
      <c r="H16" s="140"/>
    </row>
    <row r="17" spans="1:8" ht="22.9" customHeight="1" x14ac:dyDescent="0.35">
      <c r="A17" s="140" t="s">
        <v>139</v>
      </c>
      <c r="B17" s="145">
        <f>B16/B7*100</f>
        <v>0.29277219307798918</v>
      </c>
      <c r="C17" s="145">
        <f>C16/C7*100</f>
        <v>0.33461499298835173</v>
      </c>
      <c r="D17" s="140"/>
      <c r="E17" s="145">
        <f>E16/E7*100</f>
        <v>0.57503910453615825</v>
      </c>
      <c r="F17" s="146">
        <f>(B17*C17*E17)^(1/3)</f>
        <v>0.38334593921814114</v>
      </c>
      <c r="G17" s="141"/>
      <c r="H17" s="140"/>
    </row>
    <row r="18" spans="1:8" ht="23.25" x14ac:dyDescent="0.35">
      <c r="A18" s="140" t="s">
        <v>140</v>
      </c>
      <c r="B18" s="140">
        <v>44033</v>
      </c>
      <c r="C18" s="140">
        <v>154902</v>
      </c>
      <c r="D18" s="140"/>
      <c r="E18" s="140">
        <v>140676</v>
      </c>
      <c r="F18" s="140"/>
      <c r="G18" s="141">
        <f>F19*G7/100</f>
        <v>112455.89041715635</v>
      </c>
      <c r="H18" s="140"/>
    </row>
    <row r="19" spans="1:8" ht="25.9" customHeight="1" x14ac:dyDescent="0.35">
      <c r="A19" s="140" t="s">
        <v>141</v>
      </c>
      <c r="B19" s="147">
        <f>B18/B7*100</f>
        <v>1.935867407348919E-2</v>
      </c>
      <c r="C19" s="147">
        <f>C18/C7*100</f>
        <v>5.6222252689361631E-2</v>
      </c>
      <c r="D19" s="140"/>
      <c r="E19" s="147">
        <f>E18/E7*100</f>
        <v>8.040677519847543E-2</v>
      </c>
      <c r="F19" s="148">
        <f>(B19*C19*E19)^(1/3)</f>
        <v>4.4397532292571727E-2</v>
      </c>
      <c r="G19" s="141"/>
      <c r="H19" s="140"/>
    </row>
    <row r="20" spans="1:8" ht="66" customHeight="1" x14ac:dyDescent="0.35">
      <c r="A20" s="140" t="s">
        <v>142</v>
      </c>
      <c r="B20" s="140">
        <v>14017</v>
      </c>
      <c r="C20" s="140">
        <v>21883</v>
      </c>
      <c r="D20" s="140"/>
      <c r="E20" s="140">
        <v>48025</v>
      </c>
      <c r="F20" s="140"/>
      <c r="G20" s="141"/>
      <c r="H20" s="140"/>
    </row>
    <row r="21" spans="1:8" ht="24.6" customHeight="1" x14ac:dyDescent="0.35">
      <c r="A21" s="140" t="s">
        <v>143</v>
      </c>
      <c r="B21" s="147">
        <f>B20/B7*100</f>
        <v>6.1624357751708485E-3</v>
      </c>
      <c r="C21" s="147">
        <f>C20/C7*100</f>
        <v>7.9425156266626686E-3</v>
      </c>
      <c r="D21" s="140"/>
      <c r="E21" s="147">
        <f>E20/E7*100</f>
        <v>2.7449851992570041E-2</v>
      </c>
      <c r="F21" s="148">
        <f>(B21*C21*E21)^(1/3)</f>
        <v>1.1034436600359495E-2</v>
      </c>
      <c r="G21" s="141">
        <f>F21*G7/100</f>
        <v>27949.467663379637</v>
      </c>
      <c r="H21" s="140"/>
    </row>
    <row r="22" spans="1:8" ht="23.25" x14ac:dyDescent="0.35">
      <c r="A22" s="140" t="s">
        <v>144</v>
      </c>
      <c r="B22" s="140"/>
      <c r="C22" s="140"/>
      <c r="D22" s="140"/>
      <c r="E22" s="140">
        <f>E20+E18+E16+E13</f>
        <v>6175965.3099999996</v>
      </c>
      <c r="F22" s="140"/>
      <c r="G22" s="141">
        <f>G13+G16+G18+G21</f>
        <v>7909187.4841352729</v>
      </c>
      <c r="H22" s="140"/>
    </row>
    <row r="23" spans="1:8" ht="24" customHeight="1" x14ac:dyDescent="0.35">
      <c r="A23" s="140" t="s">
        <v>145</v>
      </c>
      <c r="B23" s="140"/>
      <c r="C23" s="140"/>
      <c r="D23" s="140"/>
      <c r="E23" s="140"/>
      <c r="F23" s="140"/>
      <c r="G23" s="141">
        <v>4114080</v>
      </c>
      <c r="H23" s="140"/>
    </row>
    <row r="24" spans="1:8" ht="27" customHeight="1" x14ac:dyDescent="0.35">
      <c r="A24" s="140" t="s">
        <v>146</v>
      </c>
      <c r="B24" s="140"/>
      <c r="C24" s="140"/>
      <c r="D24" s="140"/>
      <c r="E24" s="140"/>
      <c r="F24" s="140"/>
      <c r="G24" s="141">
        <f>G22-G23</f>
        <v>3795107.4841352729</v>
      </c>
      <c r="H24" s="140"/>
    </row>
    <row r="25" spans="1:8" ht="23.25" x14ac:dyDescent="0.35">
      <c r="A25" s="140" t="s">
        <v>147</v>
      </c>
      <c r="B25" s="140"/>
      <c r="C25" s="140"/>
      <c r="D25" s="140"/>
      <c r="E25" s="140"/>
      <c r="F25" s="140"/>
      <c r="G25" s="141">
        <f>G24/2</f>
        <v>1897553.7420676365</v>
      </c>
      <c r="H25" s="140"/>
    </row>
    <row r="26" spans="1:8" ht="23.25" x14ac:dyDescent="0.35">
      <c r="A26" s="140" t="s">
        <v>55</v>
      </c>
      <c r="B26" s="140"/>
      <c r="C26" s="140"/>
      <c r="D26" s="140"/>
      <c r="E26" s="140"/>
      <c r="F26" s="140"/>
      <c r="G26" s="144">
        <v>94.3</v>
      </c>
      <c r="H26" s="140"/>
    </row>
    <row r="27" spans="1:8" ht="23.25" x14ac:dyDescent="0.35">
      <c r="A27" s="149"/>
      <c r="B27" s="149"/>
      <c r="C27" s="149"/>
      <c r="D27" s="149"/>
      <c r="E27" s="149"/>
      <c r="F27" s="149"/>
      <c r="G27" s="150">
        <f>G25*G26/100</f>
        <v>1789393.178769781</v>
      </c>
      <c r="H27" s="149"/>
    </row>
    <row r="28" spans="1:8" ht="23.25" x14ac:dyDescent="0.35">
      <c r="A28" s="149" t="s">
        <v>148</v>
      </c>
      <c r="B28" s="149"/>
      <c r="C28" s="149"/>
      <c r="D28" s="149"/>
      <c r="E28" s="149"/>
      <c r="F28" s="149"/>
      <c r="G28" s="151">
        <v>177638</v>
      </c>
      <c r="H28" s="149"/>
    </row>
    <row r="29" spans="1:8" ht="23.25" x14ac:dyDescent="0.35">
      <c r="A29" s="149"/>
      <c r="B29" s="149"/>
      <c r="C29" s="149"/>
      <c r="D29" s="149"/>
      <c r="E29" s="152">
        <v>6929400</v>
      </c>
      <c r="F29" s="149"/>
      <c r="G29" s="156">
        <f>G27-G28</f>
        <v>1611755.178769781</v>
      </c>
      <c r="H29" s="149"/>
    </row>
    <row r="30" spans="1:8" ht="23.25" x14ac:dyDescent="0.35">
      <c r="A30" s="139"/>
      <c r="B30" s="139"/>
      <c r="C30" s="139"/>
      <c r="D30" s="139"/>
      <c r="E30" s="139"/>
      <c r="F30" s="139"/>
      <c r="G30" s="139"/>
      <c r="H30" s="139"/>
    </row>
    <row r="31" spans="1:8" ht="23.25" x14ac:dyDescent="0.35">
      <c r="A31" s="139"/>
      <c r="B31" s="139"/>
      <c r="C31" s="139"/>
      <c r="D31" s="139"/>
      <c r="E31" s="153"/>
      <c r="F31" s="139"/>
      <c r="G31" s="154">
        <v>1936879</v>
      </c>
      <c r="H31" s="139"/>
    </row>
    <row r="32" spans="1:8" ht="23.25" x14ac:dyDescent="0.35">
      <c r="A32" s="139"/>
      <c r="B32" s="139"/>
      <c r="C32" s="139"/>
      <c r="D32" s="139"/>
      <c r="E32" s="139" t="s">
        <v>149</v>
      </c>
      <c r="F32" s="139"/>
      <c r="G32" s="154">
        <v>1876868</v>
      </c>
      <c r="H32" s="139"/>
    </row>
    <row r="33" spans="1:8" ht="23.25" x14ac:dyDescent="0.35">
      <c r="A33" s="139"/>
      <c r="B33" s="139"/>
      <c r="C33" s="139"/>
      <c r="D33" s="139"/>
      <c r="E33" s="139"/>
      <c r="F33" s="139"/>
      <c r="G33" s="155">
        <f>(G29+G31+G32)/3</f>
        <v>1808500.7262565938</v>
      </c>
      <c r="H33" s="139"/>
    </row>
  </sheetData>
  <pageMargins left="0.11811023622047245" right="0.11811023622047245" top="0.35433070866141736" bottom="0.15748031496062992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B1" zoomScaleNormal="100" workbookViewId="0">
      <selection activeCell="G8" sqref="G8"/>
    </sheetView>
  </sheetViews>
  <sheetFormatPr defaultRowHeight="15" x14ac:dyDescent="0.25"/>
  <cols>
    <col min="1" max="1" width="57.7109375" customWidth="1"/>
    <col min="2" max="2" width="22.7109375" customWidth="1"/>
    <col min="3" max="3" width="23.7109375" customWidth="1"/>
    <col min="4" max="4" width="12.85546875" customWidth="1"/>
    <col min="5" max="5" width="21.42578125" customWidth="1"/>
    <col min="6" max="6" width="12.5703125" customWidth="1"/>
    <col min="7" max="7" width="21.7109375" customWidth="1"/>
    <col min="8" max="8" width="9.7109375" customWidth="1"/>
    <col min="9" max="9" width="13.140625" customWidth="1"/>
    <col min="10" max="10" width="11.140625" customWidth="1"/>
    <col min="11" max="11" width="11.5703125" customWidth="1"/>
    <col min="12" max="12" width="13.28515625" customWidth="1"/>
  </cols>
  <sheetData>
    <row r="1" spans="1:13" ht="23.25" x14ac:dyDescent="0.35">
      <c r="A1" s="138" t="s">
        <v>126</v>
      </c>
      <c r="B1" s="138"/>
      <c r="C1" s="138"/>
      <c r="D1" s="138"/>
      <c r="E1" s="138"/>
      <c r="F1" s="138"/>
      <c r="G1" s="139"/>
      <c r="H1" s="139"/>
    </row>
    <row r="2" spans="1:13" ht="23.25" x14ac:dyDescent="0.35">
      <c r="A2" s="139"/>
      <c r="B2" s="139"/>
      <c r="C2" s="139"/>
      <c r="D2" s="139"/>
      <c r="E2" s="139"/>
      <c r="F2" s="139"/>
      <c r="G2" s="139"/>
      <c r="H2" s="139"/>
    </row>
    <row r="3" spans="1:13" ht="23.25" x14ac:dyDescent="0.35">
      <c r="A3" s="140" t="s">
        <v>127</v>
      </c>
      <c r="B3" s="140">
        <v>2015</v>
      </c>
      <c r="C3" s="140">
        <v>2016</v>
      </c>
      <c r="D3" s="140" t="s">
        <v>129</v>
      </c>
      <c r="E3" s="140">
        <v>2017</v>
      </c>
      <c r="F3" s="140" t="s">
        <v>129</v>
      </c>
      <c r="G3" s="141">
        <v>2018</v>
      </c>
      <c r="H3" s="140" t="s">
        <v>129</v>
      </c>
      <c r="I3" s="60"/>
      <c r="J3" s="60"/>
      <c r="K3" s="60"/>
      <c r="L3" s="60"/>
    </row>
    <row r="4" spans="1:13" ht="23.25" x14ac:dyDescent="0.35">
      <c r="A4" s="140" t="s">
        <v>128</v>
      </c>
      <c r="B4" s="142">
        <v>1963452700</v>
      </c>
      <c r="C4" s="140">
        <v>2015934700</v>
      </c>
      <c r="D4" s="143">
        <f>C4/B4*100</f>
        <v>102.67294445137385</v>
      </c>
      <c r="E4" s="140">
        <v>2165934700</v>
      </c>
      <c r="F4" s="143">
        <f>E4/C4*100</f>
        <v>107.44071720180222</v>
      </c>
      <c r="G4" s="141">
        <v>2333518200</v>
      </c>
      <c r="H4" s="143">
        <f>G4/E4*100</f>
        <v>107.73723695363483</v>
      </c>
      <c r="I4" s="60"/>
      <c r="J4" s="60"/>
      <c r="K4" s="60"/>
      <c r="L4" s="60"/>
    </row>
    <row r="5" spans="1:13" ht="23.25" x14ac:dyDescent="0.35">
      <c r="A5" s="140" t="s">
        <v>130</v>
      </c>
      <c r="B5" s="140"/>
      <c r="C5" s="140"/>
      <c r="D5" s="143">
        <f>D4/107.1*100</f>
        <v>95.866428059172605</v>
      </c>
      <c r="E5" s="140"/>
      <c r="F5" s="143">
        <f>F4/104*100</f>
        <v>103.30838192480982</v>
      </c>
      <c r="G5" s="141"/>
      <c r="H5" s="143">
        <f>H4/104*100</f>
        <v>103.59349707080273</v>
      </c>
      <c r="I5" s="60"/>
      <c r="J5" s="60"/>
      <c r="K5" s="60"/>
      <c r="L5" s="60"/>
    </row>
    <row r="6" spans="1:13" ht="23.25" x14ac:dyDescent="0.35">
      <c r="A6" s="140"/>
      <c r="B6" s="140"/>
      <c r="C6" s="140"/>
      <c r="D6" s="140"/>
      <c r="E6" s="140"/>
      <c r="F6" s="140"/>
      <c r="G6" s="141"/>
      <c r="H6" s="140"/>
      <c r="I6" s="60"/>
      <c r="J6" s="60"/>
      <c r="K6" s="60"/>
      <c r="L6" s="60"/>
    </row>
    <row r="7" spans="1:13" ht="23.25" x14ac:dyDescent="0.35">
      <c r="A7" s="140" t="s">
        <v>131</v>
      </c>
      <c r="B7" s="140">
        <v>227458760</v>
      </c>
      <c r="C7" s="140">
        <v>275517242</v>
      </c>
      <c r="D7" s="143">
        <f>C7/B7*100</f>
        <v>121.12843752423517</v>
      </c>
      <c r="E7" s="140">
        <v>174955406</v>
      </c>
      <c r="F7" s="143">
        <f>E7/C7*100</f>
        <v>63.500710420148586</v>
      </c>
      <c r="G7" s="141">
        <f>F8*G4/100</f>
        <v>253293110.24786767</v>
      </c>
      <c r="H7" s="140"/>
      <c r="I7" s="60"/>
      <c r="J7" s="60"/>
      <c r="K7" s="60"/>
      <c r="L7" s="60"/>
    </row>
    <row r="8" spans="1:13" ht="23.25" x14ac:dyDescent="0.35">
      <c r="A8" s="140" t="s">
        <v>132</v>
      </c>
      <c r="B8" s="143">
        <f>B7/B4*100</f>
        <v>11.58463150143622</v>
      </c>
      <c r="C8" s="143">
        <f>C7/C4*100</f>
        <v>13.666972546283368</v>
      </c>
      <c r="D8" s="140"/>
      <c r="E8" s="143">
        <f>E7/E4*100</f>
        <v>8.0775937520184709</v>
      </c>
      <c r="F8" s="144">
        <f>(B8*C8*E8)^(1/3)</f>
        <v>10.854559019418303</v>
      </c>
      <c r="G8" s="141"/>
      <c r="H8" s="140"/>
      <c r="I8" s="60"/>
      <c r="J8" s="60"/>
      <c r="K8" s="60"/>
      <c r="L8" s="60"/>
    </row>
    <row r="9" spans="1:13" ht="23.25" x14ac:dyDescent="0.35">
      <c r="A9" s="140"/>
      <c r="B9" s="140"/>
      <c r="C9" s="140"/>
      <c r="D9" s="140"/>
      <c r="E9" s="140"/>
      <c r="F9" s="140"/>
      <c r="G9" s="141"/>
      <c r="H9" s="140"/>
      <c r="I9" s="60"/>
      <c r="J9" s="60"/>
      <c r="K9" s="60"/>
      <c r="L9" s="60"/>
    </row>
    <row r="10" spans="1:13" ht="46.5" x14ac:dyDescent="0.35">
      <c r="A10" s="140" t="s">
        <v>133</v>
      </c>
      <c r="B10" s="140">
        <v>21296228</v>
      </c>
      <c r="C10" s="140">
        <v>67639823</v>
      </c>
      <c r="D10" s="140"/>
      <c r="E10" s="140">
        <v>8915329</v>
      </c>
      <c r="F10" s="140"/>
      <c r="G10" s="141">
        <f>F11*G7/100</f>
        <v>26700001.127860814</v>
      </c>
      <c r="H10" s="140"/>
      <c r="I10" s="60"/>
      <c r="J10" s="60"/>
      <c r="K10" s="60"/>
      <c r="L10" s="60"/>
    </row>
    <row r="11" spans="1:13" ht="23.25" x14ac:dyDescent="0.35">
      <c r="A11" s="140" t="s">
        <v>134</v>
      </c>
      <c r="B11" s="143">
        <f>B10/B7*100</f>
        <v>9.3626765572800981</v>
      </c>
      <c r="C11" s="143">
        <f>C10/C7*100</f>
        <v>24.550123436557918</v>
      </c>
      <c r="D11" s="140"/>
      <c r="E11" s="143">
        <f>E10/E7*100</f>
        <v>5.0957722335256106</v>
      </c>
      <c r="F11" s="144">
        <f>(B11*C11*E11)^(1/3)</f>
        <v>10.541147803717486</v>
      </c>
      <c r="G11" s="141"/>
      <c r="H11" s="140"/>
      <c r="I11" s="60"/>
      <c r="J11" s="60"/>
      <c r="K11" s="60"/>
      <c r="L11" s="60"/>
    </row>
    <row r="12" spans="1:13" ht="23.25" x14ac:dyDescent="0.35">
      <c r="A12" s="140" t="s">
        <v>135</v>
      </c>
      <c r="B12" s="140">
        <f>B7-B10</f>
        <v>206162532</v>
      </c>
      <c r="C12" s="140">
        <f>C7-C10</f>
        <v>207877419</v>
      </c>
      <c r="D12" s="140"/>
      <c r="E12" s="140">
        <f>E7-E10</f>
        <v>166040077</v>
      </c>
      <c r="F12" s="140"/>
      <c r="G12" s="141">
        <f>G7-G10</f>
        <v>226593109.12000686</v>
      </c>
      <c r="H12" s="140">
        <f>G12/E12*100</f>
        <v>136.46892558355466</v>
      </c>
      <c r="I12" s="71">
        <f>B12</f>
        <v>206162532</v>
      </c>
      <c r="J12" s="71">
        <f>C12</f>
        <v>207877419</v>
      </c>
      <c r="K12" s="71">
        <f>E12</f>
        <v>166040077</v>
      </c>
      <c r="L12" s="71">
        <f>G12</f>
        <v>226593109.12000686</v>
      </c>
    </row>
    <row r="13" spans="1:13" ht="23.25" x14ac:dyDescent="0.35">
      <c r="A13" s="140" t="s">
        <v>136</v>
      </c>
      <c r="B13" s="140">
        <f>B12*3/100</f>
        <v>6184875.96</v>
      </c>
      <c r="C13" s="140">
        <f>C12*3/100</f>
        <v>6236322.5700000003</v>
      </c>
      <c r="D13" s="140">
        <f>C13/B13*100</f>
        <v>100.83181312499596</v>
      </c>
      <c r="E13" s="140">
        <f>E12*3/100</f>
        <v>4981202.3099999996</v>
      </c>
      <c r="F13" s="140">
        <f>E13/C13*100</f>
        <v>79.874032397910412</v>
      </c>
      <c r="G13" s="141">
        <f>G12*3/100</f>
        <v>6797793.2736002067</v>
      </c>
      <c r="H13" s="140">
        <f>G13/E13*100</f>
        <v>136.46892558355469</v>
      </c>
      <c r="I13" s="60">
        <f>I12*17/100</f>
        <v>35047630.439999998</v>
      </c>
      <c r="J13" s="60">
        <f>J12*17/100</f>
        <v>35339161.229999997</v>
      </c>
      <c r="K13" s="60">
        <f>K12*17/100</f>
        <v>28226813.09</v>
      </c>
      <c r="L13" s="60">
        <f>L12*17/100</f>
        <v>38520828.550401166</v>
      </c>
    </row>
    <row r="14" spans="1:13" ht="23.25" x14ac:dyDescent="0.35">
      <c r="A14" s="140" t="s">
        <v>137</v>
      </c>
      <c r="B14" s="140"/>
      <c r="C14" s="140"/>
      <c r="D14" s="140"/>
      <c r="E14" s="140"/>
      <c r="F14" s="140"/>
      <c r="G14" s="141">
        <f>G13/4</f>
        <v>1699448.3184000517</v>
      </c>
      <c r="H14" s="140"/>
      <c r="I14" s="60"/>
      <c r="J14" s="60"/>
      <c r="K14" s="60"/>
      <c r="L14" s="60">
        <f>L13*120/100</f>
        <v>46224994.260481395</v>
      </c>
    </row>
    <row r="15" spans="1:13" ht="23.25" x14ac:dyDescent="0.35">
      <c r="A15" s="140"/>
      <c r="B15" s="140"/>
      <c r="C15" s="140"/>
      <c r="D15" s="140"/>
      <c r="E15" s="140"/>
      <c r="F15" s="140"/>
      <c r="G15" s="141"/>
      <c r="H15" s="140"/>
      <c r="I15" s="60"/>
      <c r="J15" s="60"/>
      <c r="K15" s="60"/>
      <c r="L15" s="60">
        <f>L14*105/100</f>
        <v>48536243.973505467</v>
      </c>
      <c r="M15">
        <f>L15/51905868*100</f>
        <v>93.508202142974412</v>
      </c>
    </row>
    <row r="16" spans="1:13" ht="23.25" x14ac:dyDescent="0.35">
      <c r="A16" s="140" t="s">
        <v>138</v>
      </c>
      <c r="B16" s="140">
        <v>665936</v>
      </c>
      <c r="C16" s="140">
        <v>921922</v>
      </c>
      <c r="D16" s="140"/>
      <c r="E16" s="140">
        <v>1006062</v>
      </c>
      <c r="F16" s="140"/>
      <c r="G16" s="141">
        <f>F17*G7/100</f>
        <v>970988.85245452996</v>
      </c>
      <c r="H16" s="140"/>
      <c r="I16" s="60"/>
      <c r="J16" s="60"/>
      <c r="K16" s="60"/>
      <c r="L16" s="60"/>
      <c r="M16">
        <f>51905868*95.6/100</f>
        <v>49622009.807999991</v>
      </c>
    </row>
    <row r="17" spans="1:12" ht="23.25" x14ac:dyDescent="0.35">
      <c r="A17" s="140" t="s">
        <v>139</v>
      </c>
      <c r="B17" s="145">
        <f>B16/B7*100</f>
        <v>0.29277219307798918</v>
      </c>
      <c r="C17" s="145">
        <f>C16/C7*100</f>
        <v>0.33461499298835173</v>
      </c>
      <c r="D17" s="140"/>
      <c r="E17" s="145">
        <f>E16/E7*100</f>
        <v>0.57503910453615825</v>
      </c>
      <c r="F17" s="146">
        <f>(B17*C17*E17)^(1/3)</f>
        <v>0.38334593921814114</v>
      </c>
      <c r="G17" s="141"/>
      <c r="H17" s="140"/>
      <c r="I17" s="60"/>
      <c r="J17" s="60"/>
      <c r="K17" s="60"/>
      <c r="L17" s="60"/>
    </row>
    <row r="18" spans="1:12" ht="23.25" x14ac:dyDescent="0.35">
      <c r="A18" s="140" t="s">
        <v>140</v>
      </c>
      <c r="B18" s="140">
        <v>44033</v>
      </c>
      <c r="C18" s="140">
        <v>154902</v>
      </c>
      <c r="D18" s="140"/>
      <c r="E18" s="140">
        <v>140676</v>
      </c>
      <c r="F18" s="140"/>
      <c r="G18" s="141">
        <f>F19*G7/100</f>
        <v>112455.89041715635</v>
      </c>
      <c r="H18" s="140"/>
      <c r="I18" s="60"/>
      <c r="J18" s="60"/>
      <c r="K18" s="60"/>
      <c r="L18" s="60"/>
    </row>
    <row r="19" spans="1:12" ht="23.25" x14ac:dyDescent="0.35">
      <c r="A19" s="140" t="s">
        <v>141</v>
      </c>
      <c r="B19" s="147">
        <f>B18/B7*100</f>
        <v>1.935867407348919E-2</v>
      </c>
      <c r="C19" s="147">
        <f>C18/C7*100</f>
        <v>5.6222252689361631E-2</v>
      </c>
      <c r="D19" s="140"/>
      <c r="E19" s="147">
        <f>E18/E7*100</f>
        <v>8.040677519847543E-2</v>
      </c>
      <c r="F19" s="148">
        <f>(B19*C19*E19)^(1/3)</f>
        <v>4.4397532292571727E-2</v>
      </c>
      <c r="G19" s="141"/>
      <c r="H19" s="140"/>
      <c r="I19" s="60"/>
      <c r="J19" s="60"/>
      <c r="K19" s="60"/>
      <c r="L19" s="60"/>
    </row>
    <row r="20" spans="1:12" ht="69.75" x14ac:dyDescent="0.35">
      <c r="A20" s="140" t="s">
        <v>142</v>
      </c>
      <c r="B20" s="140">
        <v>14017</v>
      </c>
      <c r="C20" s="140">
        <v>21883</v>
      </c>
      <c r="D20" s="140"/>
      <c r="E20" s="140">
        <v>48025</v>
      </c>
      <c r="F20" s="140"/>
      <c r="G20" s="141"/>
      <c r="H20" s="140"/>
      <c r="I20" s="60"/>
      <c r="J20" s="60"/>
      <c r="K20" s="60"/>
      <c r="L20" s="60"/>
    </row>
    <row r="21" spans="1:12" ht="23.25" x14ac:dyDescent="0.35">
      <c r="A21" s="140" t="s">
        <v>143</v>
      </c>
      <c r="B21" s="147">
        <f>B20/B7*100</f>
        <v>6.1624357751708485E-3</v>
      </c>
      <c r="C21" s="147">
        <f>C20/C7*100</f>
        <v>7.9425156266626686E-3</v>
      </c>
      <c r="D21" s="140"/>
      <c r="E21" s="147">
        <f>E20/E7*100</f>
        <v>2.7449851992570041E-2</v>
      </c>
      <c r="F21" s="148">
        <f>(B21*C21*E21)^(1/3)</f>
        <v>1.1034436600359495E-2</v>
      </c>
      <c r="G21" s="141">
        <f>F21*G7/100</f>
        <v>27949.467663379637</v>
      </c>
      <c r="H21" s="140"/>
      <c r="I21" s="60"/>
      <c r="J21" s="60"/>
      <c r="K21" s="60"/>
      <c r="L21" s="60"/>
    </row>
    <row r="22" spans="1:12" ht="23.25" x14ac:dyDescent="0.35">
      <c r="A22" s="140" t="s">
        <v>144</v>
      </c>
      <c r="B22" s="140"/>
      <c r="C22" s="140"/>
      <c r="D22" s="140"/>
      <c r="E22" s="140">
        <f>E20+E18+E16+E13</f>
        <v>6175965.3099999996</v>
      </c>
      <c r="F22" s="140"/>
      <c r="G22" s="141">
        <f>G13+G16+G18+G21</f>
        <v>7909187.4841352729</v>
      </c>
      <c r="H22" s="140"/>
      <c r="I22" s="60"/>
      <c r="J22" s="60"/>
      <c r="K22" s="60"/>
      <c r="L22" s="60"/>
    </row>
    <row r="23" spans="1:12" ht="23.25" x14ac:dyDescent="0.35">
      <c r="A23" s="140" t="s">
        <v>145</v>
      </c>
      <c r="B23" s="140"/>
      <c r="C23" s="140"/>
      <c r="D23" s="140"/>
      <c r="E23" s="140"/>
      <c r="F23" s="140"/>
      <c r="G23" s="141">
        <v>4114080</v>
      </c>
      <c r="H23" s="140"/>
      <c r="I23" s="60"/>
      <c r="J23" s="60"/>
      <c r="K23" s="60"/>
      <c r="L23" s="60"/>
    </row>
    <row r="24" spans="1:12" ht="23.25" x14ac:dyDescent="0.35">
      <c r="A24" s="140" t="s">
        <v>146</v>
      </c>
      <c r="B24" s="140"/>
      <c r="C24" s="140"/>
      <c r="D24" s="140"/>
      <c r="E24" s="140"/>
      <c r="F24" s="140"/>
      <c r="G24" s="141">
        <f>G22-G23</f>
        <v>3795107.4841352729</v>
      </c>
      <c r="H24" s="140"/>
      <c r="I24" s="60"/>
      <c r="J24" s="60"/>
      <c r="K24" s="60"/>
      <c r="L24" s="60"/>
    </row>
    <row r="25" spans="1:12" ht="23.25" x14ac:dyDescent="0.35">
      <c r="A25" s="140" t="s">
        <v>147</v>
      </c>
      <c r="B25" s="140"/>
      <c r="C25" s="140"/>
      <c r="D25" s="140"/>
      <c r="E25" s="140"/>
      <c r="F25" s="140"/>
      <c r="G25" s="141">
        <f>G24/2</f>
        <v>1897553.7420676365</v>
      </c>
      <c r="H25" s="140"/>
      <c r="I25" s="60"/>
      <c r="J25" s="60"/>
      <c r="K25" s="60"/>
      <c r="L25" s="60"/>
    </row>
    <row r="26" spans="1:12" ht="23.25" x14ac:dyDescent="0.35">
      <c r="A26" s="140" t="s">
        <v>55</v>
      </c>
      <c r="B26" s="140"/>
      <c r="C26" s="140"/>
      <c r="D26" s="140"/>
      <c r="E26" s="140"/>
      <c r="F26" s="140"/>
      <c r="G26" s="144">
        <v>94.3</v>
      </c>
      <c r="H26" s="140"/>
      <c r="I26" s="60"/>
      <c r="J26" s="60"/>
      <c r="K26" s="60"/>
      <c r="L26" s="60"/>
    </row>
    <row r="27" spans="1:12" ht="23.25" x14ac:dyDescent="0.35">
      <c r="A27" s="149"/>
      <c r="B27" s="149"/>
      <c r="C27" s="149"/>
      <c r="D27" s="149"/>
      <c r="E27" s="149"/>
      <c r="F27" s="149"/>
      <c r="G27" s="150">
        <f>G25*G26/100</f>
        <v>1789393.178769781</v>
      </c>
      <c r="H27" s="149"/>
      <c r="I27" s="60"/>
      <c r="J27" s="60"/>
      <c r="K27" s="60"/>
      <c r="L27" s="60"/>
    </row>
    <row r="28" spans="1:12" ht="23.25" x14ac:dyDescent="0.35">
      <c r="A28" s="149" t="s">
        <v>148</v>
      </c>
      <c r="B28" s="149"/>
      <c r="C28" s="149"/>
      <c r="D28" s="149"/>
      <c r="E28" s="149"/>
      <c r="F28" s="149"/>
      <c r="G28" s="151">
        <v>177638</v>
      </c>
      <c r="H28" s="149"/>
      <c r="I28" s="60"/>
      <c r="J28" s="60"/>
      <c r="K28" s="60"/>
      <c r="L28" s="60"/>
    </row>
    <row r="29" spans="1:12" ht="23.25" x14ac:dyDescent="0.35">
      <c r="A29" s="149"/>
      <c r="B29" s="149"/>
      <c r="C29" s="149"/>
      <c r="D29" s="149"/>
      <c r="E29" s="152">
        <v>6929400</v>
      </c>
      <c r="F29" s="149"/>
      <c r="G29" s="156">
        <f>G27-G28</f>
        <v>1611755.178769781</v>
      </c>
      <c r="H29" s="149"/>
      <c r="I29" s="60"/>
      <c r="J29" s="71"/>
      <c r="K29" s="60"/>
      <c r="L29" s="60"/>
    </row>
    <row r="30" spans="1:12" ht="23.25" x14ac:dyDescent="0.35">
      <c r="A30" s="139"/>
      <c r="B30" s="139"/>
      <c r="C30" s="139"/>
      <c r="D30" s="139"/>
      <c r="E30" s="139"/>
      <c r="F30" s="139"/>
      <c r="G30" s="139"/>
      <c r="H30" s="139"/>
      <c r="J30" s="30"/>
    </row>
    <row r="31" spans="1:12" ht="23.25" x14ac:dyDescent="0.35">
      <c r="A31" s="139"/>
      <c r="B31" s="139"/>
      <c r="C31" s="139"/>
      <c r="D31" s="139"/>
      <c r="E31" s="153"/>
      <c r="F31" s="139"/>
      <c r="G31" s="154">
        <v>1936879</v>
      </c>
      <c r="H31" s="139"/>
    </row>
    <row r="32" spans="1:12" ht="23.25" x14ac:dyDescent="0.35">
      <c r="A32" s="139"/>
      <c r="B32" s="139"/>
      <c r="C32" s="139"/>
      <c r="D32" s="139"/>
      <c r="E32" s="139" t="s">
        <v>149</v>
      </c>
      <c r="F32" s="139"/>
      <c r="G32" s="154">
        <v>1876868</v>
      </c>
      <c r="H32" s="139"/>
    </row>
    <row r="33" spans="1:8" ht="23.25" x14ac:dyDescent="0.35">
      <c r="A33" s="139"/>
      <c r="B33" s="139"/>
      <c r="C33" s="139"/>
      <c r="D33" s="139"/>
      <c r="E33" s="139"/>
      <c r="F33" s="139"/>
      <c r="G33" s="155">
        <f>(G29+G31+G32)/3</f>
        <v>1808500.7262565938</v>
      </c>
      <c r="H33" s="139"/>
    </row>
  </sheetData>
  <pageMargins left="0.11811023622047245" right="0.11811023622047245" top="0.35433070866141736" bottom="0.15748031496062992" header="0.31496062992125984" footer="0.31496062992125984"/>
  <pageSetup paperSize="9" scale="6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K25" sqref="K25"/>
    </sheetView>
  </sheetViews>
  <sheetFormatPr defaultRowHeight="12.75" x14ac:dyDescent="0.2"/>
  <cols>
    <col min="1" max="1" width="25.85546875" style="158" customWidth="1"/>
    <col min="2" max="2" width="16.140625" style="158" customWidth="1"/>
    <col min="3" max="3" width="18.7109375" style="158" customWidth="1"/>
    <col min="4" max="4" width="17.7109375" style="158" customWidth="1"/>
    <col min="5" max="6" width="16.28515625" style="158" customWidth="1"/>
    <col min="7" max="7" width="14.7109375" style="158" customWidth="1"/>
    <col min="8" max="8" width="14.5703125" style="158" customWidth="1"/>
    <col min="9" max="9" width="12.85546875" style="158" customWidth="1"/>
    <col min="10" max="10" width="15.85546875" style="158" customWidth="1"/>
    <col min="11" max="11" width="16.140625" style="158" customWidth="1"/>
    <col min="12" max="12" width="14.140625" style="203" customWidth="1"/>
    <col min="13" max="14" width="9.140625" style="158"/>
    <col min="15" max="15" width="11.28515625" style="158" bestFit="1" customWidth="1"/>
    <col min="16" max="16384" width="9.140625" style="158"/>
  </cols>
  <sheetData>
    <row r="1" spans="1:15" x14ac:dyDescent="0.2">
      <c r="A1" s="161" t="s">
        <v>193</v>
      </c>
    </row>
    <row r="3" spans="1:15" x14ac:dyDescent="0.2">
      <c r="A3" s="162" t="s">
        <v>182</v>
      </c>
      <c r="B3" s="162" t="s">
        <v>185</v>
      </c>
      <c r="C3" s="162" t="s">
        <v>186</v>
      </c>
      <c r="D3" s="162" t="s">
        <v>178</v>
      </c>
      <c r="E3" s="162" t="s">
        <v>186</v>
      </c>
      <c r="F3" s="170" t="s">
        <v>187</v>
      </c>
      <c r="G3" s="162" t="s">
        <v>184</v>
      </c>
      <c r="H3" s="168" t="s">
        <v>186</v>
      </c>
      <c r="I3" s="162" t="s">
        <v>189</v>
      </c>
      <c r="J3" s="162"/>
      <c r="K3" s="162"/>
      <c r="L3" s="204"/>
    </row>
    <row r="4" spans="1:15" x14ac:dyDescent="0.2">
      <c r="A4" s="159" t="s">
        <v>153</v>
      </c>
      <c r="B4" s="176">
        <v>28074464</v>
      </c>
      <c r="C4" s="163">
        <f>B4/B10</f>
        <v>0.12094935879675772</v>
      </c>
      <c r="D4" s="176">
        <v>29883173</v>
      </c>
      <c r="E4" s="163">
        <f>D4/D10</f>
        <v>0.11296375050030673</v>
      </c>
      <c r="F4" s="171">
        <f t="shared" ref="F4:F9" si="0">(E4+C4+H4)/3</f>
        <v>0.10627295797178027</v>
      </c>
      <c r="G4" s="160">
        <v>32065755</v>
      </c>
      <c r="H4" s="169">
        <f t="shared" ref="H4:H9" si="1">G4/G$10</f>
        <v>8.4905764618276369E-2</v>
      </c>
      <c r="I4" s="160">
        <f>'НДФЛ 2024, темп 109.3'!J11</f>
        <v>33763747.792720273</v>
      </c>
      <c r="J4" s="160"/>
      <c r="K4" s="160"/>
      <c r="L4" s="180"/>
    </row>
    <row r="5" spans="1:15" x14ac:dyDescent="0.2">
      <c r="A5" s="159" t="s">
        <v>154</v>
      </c>
      <c r="B5" s="176">
        <v>345090</v>
      </c>
      <c r="C5" s="163">
        <f>B5/B10</f>
        <v>1.4867038682260549E-3</v>
      </c>
      <c r="D5" s="176">
        <v>362250</v>
      </c>
      <c r="E5" s="163">
        <f>D5/D10</f>
        <v>1.3693699333312468E-3</v>
      </c>
      <c r="F5" s="171">
        <f t="shared" si="0"/>
        <v>1.4664375347941269E-3</v>
      </c>
      <c r="G5" s="176">
        <v>582824</v>
      </c>
      <c r="H5" s="169">
        <f t="shared" si="1"/>
        <v>1.5432388028250794E-3</v>
      </c>
      <c r="I5" s="160">
        <f>I10*H5</f>
        <v>488212.30839999462</v>
      </c>
      <c r="J5" s="160"/>
      <c r="K5" s="160"/>
      <c r="L5" s="180"/>
    </row>
    <row r="6" spans="1:15" x14ac:dyDescent="0.2">
      <c r="A6" s="159" t="s">
        <v>155</v>
      </c>
      <c r="B6" s="176">
        <v>592027</v>
      </c>
      <c r="C6" s="163">
        <f>B6/B10</f>
        <v>2.5505486423665325E-3</v>
      </c>
      <c r="D6" s="176">
        <f>18400878-17785200</f>
        <v>615678</v>
      </c>
      <c r="E6" s="163">
        <f>D6/D10</f>
        <v>2.3273732003133616E-3</v>
      </c>
      <c r="F6" s="171">
        <f t="shared" si="0"/>
        <v>2.1393277361561411E-3</v>
      </c>
      <c r="G6" s="176">
        <v>581624</v>
      </c>
      <c r="H6" s="169">
        <f t="shared" si="1"/>
        <v>1.5400613657885296E-3</v>
      </c>
      <c r="I6" s="160">
        <f>I10*H6</f>
        <v>487207.1082536726</v>
      </c>
      <c r="J6" s="160"/>
      <c r="K6" s="160"/>
      <c r="L6" s="180"/>
    </row>
    <row r="7" spans="1:15" x14ac:dyDescent="0.2">
      <c r="A7" s="159" t="s">
        <v>156</v>
      </c>
      <c r="B7" s="176">
        <v>332606</v>
      </c>
      <c r="C7" s="163">
        <f>B7/B10</f>
        <v>1.4329207650038982E-3</v>
      </c>
      <c r="D7" s="176">
        <v>327619</v>
      </c>
      <c r="E7" s="163">
        <f>D7/D10</f>
        <v>1.2384585457227044E-3</v>
      </c>
      <c r="F7" s="171">
        <f t="shared" si="0"/>
        <v>1.2072467123006188E-3</v>
      </c>
      <c r="G7" s="176">
        <v>358916</v>
      </c>
      <c r="H7" s="169">
        <f t="shared" si="1"/>
        <v>9.5036082617525389E-4</v>
      </c>
      <c r="I7" s="160">
        <f>I10*H7</f>
        <v>300652.01309776615</v>
      </c>
      <c r="J7" s="160"/>
      <c r="K7" s="160"/>
      <c r="L7" s="180"/>
    </row>
    <row r="8" spans="1:15" x14ac:dyDescent="0.2">
      <c r="A8" s="159" t="s">
        <v>157</v>
      </c>
      <c r="B8" s="176">
        <v>3</v>
      </c>
      <c r="C8" s="163">
        <f>B8/B10</f>
        <v>1.2924488118108797E-8</v>
      </c>
      <c r="D8" s="176">
        <v>0</v>
      </c>
      <c r="E8" s="163">
        <f>D8/D10</f>
        <v>0</v>
      </c>
      <c r="F8" s="171">
        <f t="shared" si="0"/>
        <v>1.4070645399232153E-5</v>
      </c>
      <c r="G8" s="176">
        <v>15937</v>
      </c>
      <c r="H8" s="169">
        <f t="shared" si="1"/>
        <v>4.2199011709578349E-5</v>
      </c>
      <c r="I8" s="160">
        <f>I10*H8</f>
        <v>13349.895609945223</v>
      </c>
      <c r="J8" s="160"/>
      <c r="K8" s="160"/>
      <c r="L8" s="180"/>
    </row>
    <row r="9" spans="1:15" s="161" customFormat="1" x14ac:dyDescent="0.2">
      <c r="A9" s="165" t="s">
        <v>183</v>
      </c>
      <c r="B9" s="176">
        <f>SUM(B4:B8)</f>
        <v>29344190</v>
      </c>
      <c r="C9" s="163">
        <f>B9/B10</f>
        <v>0.12641954499684233</v>
      </c>
      <c r="D9" s="176">
        <f>SUM(D4:D8)</f>
        <v>31188720</v>
      </c>
      <c r="E9" s="163">
        <f>D9/D10</f>
        <v>0.11789895217967404</v>
      </c>
      <c r="F9" s="171">
        <f t="shared" si="0"/>
        <v>0.1111000406004304</v>
      </c>
      <c r="G9" s="176">
        <f>SUM(G4:G8)</f>
        <v>33605056</v>
      </c>
      <c r="H9" s="169">
        <f t="shared" si="1"/>
        <v>8.898162462477481E-2</v>
      </c>
      <c r="I9" s="160">
        <f>I10*H9</f>
        <v>28149839.340300143</v>
      </c>
      <c r="J9" s="160"/>
      <c r="K9" s="160"/>
      <c r="L9" s="180"/>
      <c r="N9" s="158"/>
      <c r="O9" s="158"/>
    </row>
    <row r="10" spans="1:15" x14ac:dyDescent="0.2">
      <c r="A10" s="165" t="s">
        <v>188</v>
      </c>
      <c r="B10" s="166">
        <f>'НДФЛ 2024, темп 109.3'!G15</f>
        <v>232117510</v>
      </c>
      <c r="C10" s="159"/>
      <c r="D10" s="166">
        <f>'НДФЛ 2024, темп 109.3'!H15</f>
        <v>264537720</v>
      </c>
      <c r="E10" s="160"/>
      <c r="F10" s="172"/>
      <c r="G10" s="166">
        <f>'НДФЛ 2024, темп 109.3'!I15</f>
        <v>377662873</v>
      </c>
      <c r="H10" s="174"/>
      <c r="I10" s="166">
        <f>'НДФЛ 2024, темп 109.3'!J15</f>
        <v>316355646</v>
      </c>
      <c r="J10" s="166"/>
      <c r="K10" s="166"/>
      <c r="L10" s="205"/>
      <c r="O10" s="181"/>
    </row>
    <row r="11" spans="1:15" x14ac:dyDescent="0.2">
      <c r="A11" s="159" t="s">
        <v>192</v>
      </c>
      <c r="B11" s="159"/>
      <c r="C11" s="159"/>
      <c r="D11" s="167">
        <f>D9/B9</f>
        <v>1.0628584397797316</v>
      </c>
      <c r="E11" s="159"/>
      <c r="F11" s="173"/>
      <c r="G11" s="167">
        <f>G10/D10</f>
        <v>1.4276333560295296</v>
      </c>
      <c r="H11" s="175"/>
      <c r="I11" s="167">
        <f>I10/G10</f>
        <v>0.83766678860169552</v>
      </c>
      <c r="J11" s="167"/>
      <c r="K11" s="167"/>
      <c r="L11" s="206"/>
    </row>
    <row r="13" spans="1:15" ht="36.75" customHeight="1" x14ac:dyDescent="0.2">
      <c r="A13" s="162" t="s">
        <v>182</v>
      </c>
      <c r="B13" s="164" t="s">
        <v>248</v>
      </c>
      <c r="C13" s="159">
        <v>2021</v>
      </c>
      <c r="D13" s="159" t="s">
        <v>226</v>
      </c>
      <c r="E13" s="162">
        <v>2022</v>
      </c>
      <c r="F13" s="162">
        <v>2023</v>
      </c>
      <c r="G13" s="202" t="s">
        <v>247</v>
      </c>
      <c r="H13" s="162">
        <v>2024</v>
      </c>
      <c r="I13" s="162">
        <v>2025</v>
      </c>
      <c r="J13" s="162">
        <v>2026</v>
      </c>
      <c r="K13" s="162">
        <v>2027</v>
      </c>
    </row>
    <row r="14" spans="1:15" x14ac:dyDescent="0.2">
      <c r="A14" s="159" t="s">
        <v>153</v>
      </c>
      <c r="B14" s="178">
        <f t="shared" ref="B14:B19" si="2">G14/G$26</f>
        <v>0.10626892677243052</v>
      </c>
      <c r="C14" s="179">
        <v>33764597</v>
      </c>
      <c r="D14" s="179"/>
      <c r="E14" s="180">
        <f>38392725+112343+3783</f>
        <v>38508851</v>
      </c>
      <c r="F14" s="197">
        <v>43346370</v>
      </c>
      <c r="G14" s="197">
        <f>F14-'НДФЛ 2024, темп 109.3'!L23</f>
        <v>43512945</v>
      </c>
      <c r="H14" s="180">
        <f t="shared" ref="H14:H19" si="3">H$26*B14</f>
        <v>47559648.884999998</v>
      </c>
      <c r="I14" s="180">
        <f t="shared" ref="I14:I22" si="4">I$26*B14</f>
        <v>51697338.337995</v>
      </c>
      <c r="J14" s="180">
        <f t="shared" ref="J14:J22" si="5">J$26*B14</f>
        <v>56039914.758386582</v>
      </c>
      <c r="K14" s="180">
        <f t="shared" ref="K14:K22" si="6">K$26*B14</f>
        <v>60523107.939057514</v>
      </c>
      <c r="M14" s="183"/>
      <c r="N14" s="183"/>
    </row>
    <row r="15" spans="1:15" x14ac:dyDescent="0.2">
      <c r="A15" s="159" t="s">
        <v>154</v>
      </c>
      <c r="B15" s="178">
        <f t="shared" si="2"/>
        <v>1.1766185274633746E-3</v>
      </c>
      <c r="C15" s="179">
        <v>1005190</v>
      </c>
      <c r="D15" s="179">
        <f>C15-'НДФЛ 2024, темп 109.3'!J25</f>
        <v>696549</v>
      </c>
      <c r="E15" s="180">
        <v>200024</v>
      </c>
      <c r="F15" s="197">
        <v>392686</v>
      </c>
      <c r="G15" s="197">
        <f>F15-'НДФЛ 2024, темп 109.3'!L27</f>
        <v>481779</v>
      </c>
      <c r="H15" s="180">
        <f t="shared" si="3"/>
        <v>526584.44700000004</v>
      </c>
      <c r="I15" s="180">
        <f t="shared" si="4"/>
        <v>572397.29388899996</v>
      </c>
      <c r="J15" s="180">
        <f t="shared" si="5"/>
        <v>620478.66657567606</v>
      </c>
      <c r="K15" s="180">
        <f t="shared" si="6"/>
        <v>670116.95990173018</v>
      </c>
      <c r="M15" s="183"/>
      <c r="N15" s="183"/>
    </row>
    <row r="16" spans="1:15" x14ac:dyDescent="0.2">
      <c r="A16" s="159" t="s">
        <v>155</v>
      </c>
      <c r="B16" s="178">
        <f t="shared" si="2"/>
        <v>2.3014054578493438E-3</v>
      </c>
      <c r="C16" s="179">
        <v>1199086</v>
      </c>
      <c r="D16" s="179">
        <f>C16-'НДФЛ 2024, темп 109.3'!J29</f>
        <v>925607</v>
      </c>
      <c r="E16" s="180">
        <v>995065</v>
      </c>
      <c r="F16" s="197">
        <v>942335</v>
      </c>
      <c r="G16" s="197">
        <f>F16-'НДФЛ 2024, темп 109.3'!L31</f>
        <v>942335</v>
      </c>
      <c r="H16" s="180">
        <f t="shared" si="3"/>
        <v>1029972.1549999999</v>
      </c>
      <c r="I16" s="180">
        <f t="shared" si="4"/>
        <v>1119579.732485</v>
      </c>
      <c r="J16" s="180">
        <f t="shared" si="5"/>
        <v>1213624.43001374</v>
      </c>
      <c r="K16" s="180">
        <f t="shared" si="6"/>
        <v>1310714.3844148393</v>
      </c>
      <c r="M16" s="183"/>
      <c r="N16" s="183"/>
    </row>
    <row r="17" spans="1:15" x14ac:dyDescent="0.2">
      <c r="A17" s="159" t="s">
        <v>156</v>
      </c>
      <c r="B17" s="178">
        <f t="shared" si="2"/>
        <v>3.1371243256015746E-3</v>
      </c>
      <c r="C17" s="179">
        <v>579714</v>
      </c>
      <c r="D17" s="179"/>
      <c r="E17" s="180">
        <v>959737</v>
      </c>
      <c r="F17" s="197">
        <v>1284529</v>
      </c>
      <c r="G17" s="197">
        <f>F17</f>
        <v>1284529</v>
      </c>
      <c r="H17" s="180">
        <f t="shared" si="3"/>
        <v>1403990.1969999999</v>
      </c>
      <c r="I17" s="180">
        <f t="shared" si="4"/>
        <v>1526137.3441389999</v>
      </c>
      <c r="J17" s="180">
        <f t="shared" si="5"/>
        <v>1654332.8810466761</v>
      </c>
      <c r="K17" s="180">
        <f t="shared" si="6"/>
        <v>1786679.5115304103</v>
      </c>
      <c r="M17" s="183"/>
      <c r="N17" s="183"/>
    </row>
    <row r="18" spans="1:15" x14ac:dyDescent="0.2">
      <c r="A18" s="159" t="s">
        <v>157</v>
      </c>
      <c r="B18" s="178">
        <f t="shared" si="2"/>
        <v>1.5361671093477769E-6</v>
      </c>
      <c r="C18" s="179">
        <v>501</v>
      </c>
      <c r="D18" s="179"/>
      <c r="E18" s="180">
        <v>5</v>
      </c>
      <c r="F18" s="197">
        <v>629</v>
      </c>
      <c r="G18" s="197">
        <f>F18</f>
        <v>629</v>
      </c>
      <c r="H18" s="180">
        <f t="shared" si="3"/>
        <v>687.49699999999996</v>
      </c>
      <c r="I18" s="180">
        <f t="shared" si="4"/>
        <v>747.30923900000005</v>
      </c>
      <c r="J18" s="180">
        <f t="shared" si="5"/>
        <v>810.0832150760001</v>
      </c>
      <c r="K18" s="180">
        <f t="shared" si="6"/>
        <v>874.88987228208009</v>
      </c>
      <c r="M18" s="183"/>
      <c r="N18" s="183"/>
    </row>
    <row r="19" spans="1:15" x14ac:dyDescent="0.2">
      <c r="A19" s="159" t="s">
        <v>206</v>
      </c>
      <c r="B19" s="178">
        <f t="shared" si="2"/>
        <v>1.204240228586941E-2</v>
      </c>
      <c r="C19" s="179">
        <v>3930529</v>
      </c>
      <c r="D19" s="179"/>
      <c r="E19" s="180">
        <f>7266017+582</f>
        <v>7266599</v>
      </c>
      <c r="F19" s="197">
        <v>4876720</v>
      </c>
      <c r="G19" s="197">
        <f>F19-'НДФЛ 2024, темп 109.3'!L41</f>
        <v>4930890</v>
      </c>
      <c r="H19" s="180">
        <f t="shared" si="3"/>
        <v>5389462.7699999996</v>
      </c>
      <c r="I19" s="180">
        <f t="shared" si="4"/>
        <v>5858346.0309899999</v>
      </c>
      <c r="J19" s="180">
        <f t="shared" si="5"/>
        <v>6350447.0975931603</v>
      </c>
      <c r="K19" s="180">
        <f t="shared" si="6"/>
        <v>6858482.8654006133</v>
      </c>
      <c r="M19" s="183"/>
      <c r="N19" s="183"/>
      <c r="O19" s="183"/>
    </row>
    <row r="20" spans="1:15" x14ac:dyDescent="0.2">
      <c r="A20" s="159" t="s">
        <v>207</v>
      </c>
      <c r="B20" s="178">
        <f t="shared" ref="B20:B25" si="7">G20/G$26</f>
        <v>1.5825696134457224E-6</v>
      </c>
      <c r="C20" s="179">
        <v>5000</v>
      </c>
      <c r="D20" s="179"/>
      <c r="E20" s="180">
        <v>651</v>
      </c>
      <c r="F20" s="197">
        <v>648</v>
      </c>
      <c r="G20" s="197">
        <f>F20</f>
        <v>648</v>
      </c>
      <c r="H20" s="180">
        <f>H$26*B20+2</f>
        <v>710.26400000000001</v>
      </c>
      <c r="I20" s="180">
        <f t="shared" si="4"/>
        <v>769.88296800000001</v>
      </c>
      <c r="J20" s="180">
        <f t="shared" si="5"/>
        <v>834.55313731199999</v>
      </c>
      <c r="K20" s="180">
        <f t="shared" si="6"/>
        <v>901.31738829696008</v>
      </c>
      <c r="M20" s="183"/>
      <c r="N20" s="183"/>
    </row>
    <row r="21" spans="1:15" x14ac:dyDescent="0.2">
      <c r="A21" s="159" t="s">
        <v>208</v>
      </c>
      <c r="B21" s="178">
        <f t="shared" si="7"/>
        <v>3.0210472404820348E-6</v>
      </c>
      <c r="C21" s="179">
        <v>264</v>
      </c>
      <c r="D21" s="179"/>
      <c r="E21" s="180">
        <v>-121</v>
      </c>
      <c r="F21" s="197">
        <v>1237</v>
      </c>
      <c r="G21" s="197">
        <f>F21-'НДФЛ 2024, темп 109.3'!L45</f>
        <v>1237</v>
      </c>
      <c r="H21" s="180">
        <f>H$26*B21</f>
        <v>1352.0409999999999</v>
      </c>
      <c r="I21" s="180">
        <f t="shared" si="4"/>
        <v>1469.6685669999999</v>
      </c>
      <c r="J21" s="180">
        <f t="shared" si="5"/>
        <v>1593.1207266280001</v>
      </c>
      <c r="K21" s="180">
        <f t="shared" si="6"/>
        <v>1720.5703847582402</v>
      </c>
      <c r="M21" s="183"/>
      <c r="N21" s="183"/>
    </row>
    <row r="22" spans="1:15" x14ac:dyDescent="0.2">
      <c r="A22" s="159" t="s">
        <v>209</v>
      </c>
      <c r="B22" s="178">
        <f t="shared" si="7"/>
        <v>9.2438672637223133E-6</v>
      </c>
      <c r="C22" s="179">
        <v>0</v>
      </c>
      <c r="D22" s="179"/>
      <c r="E22" s="180">
        <v>3</v>
      </c>
      <c r="F22" s="197">
        <v>3785</v>
      </c>
      <c r="G22" s="197">
        <f>F22</f>
        <v>3785</v>
      </c>
      <c r="H22" s="180">
        <f>H$26*B22</f>
        <v>4137.0049999999992</v>
      </c>
      <c r="I22" s="180">
        <f t="shared" si="4"/>
        <v>4496.9244349999999</v>
      </c>
      <c r="J22" s="180">
        <f t="shared" si="5"/>
        <v>4874.6660875400003</v>
      </c>
      <c r="K22" s="180">
        <f t="shared" si="6"/>
        <v>5264.6393745432006</v>
      </c>
      <c r="M22" s="183"/>
      <c r="N22" s="183"/>
    </row>
    <row r="23" spans="1:15" x14ac:dyDescent="0.2">
      <c r="A23" s="159" t="s">
        <v>235</v>
      </c>
      <c r="B23" s="178">
        <f t="shared" si="7"/>
        <v>3.1360961438002466E-3</v>
      </c>
      <c r="C23" s="179"/>
      <c r="D23" s="179"/>
      <c r="E23" s="180"/>
      <c r="F23" s="197">
        <v>1270645</v>
      </c>
      <c r="G23" s="197">
        <f>F23-'НДФЛ 2024, темп 109.3'!L56</f>
        <v>1284108</v>
      </c>
      <c r="H23" s="180"/>
      <c r="I23" s="180"/>
      <c r="J23" s="180"/>
      <c r="K23" s="180"/>
      <c r="M23" s="183"/>
      <c r="N23" s="183"/>
    </row>
    <row r="24" spans="1:15" x14ac:dyDescent="0.2">
      <c r="A24" s="159" t="s">
        <v>236</v>
      </c>
      <c r="B24" s="178">
        <f t="shared" si="7"/>
        <v>7.9017383308527412E-3</v>
      </c>
      <c r="C24" s="179"/>
      <c r="D24" s="179"/>
      <c r="E24" s="180"/>
      <c r="F24" s="197">
        <v>3232669</v>
      </c>
      <c r="G24" s="197">
        <f>F24-'НДФЛ 2024, темп 109.3'!L65</f>
        <v>3235451</v>
      </c>
      <c r="H24" s="180"/>
      <c r="I24" s="180"/>
      <c r="J24" s="180"/>
      <c r="K24" s="180"/>
      <c r="M24" s="183"/>
      <c r="N24" s="183"/>
    </row>
    <row r="25" spans="1:15" x14ac:dyDescent="0.2">
      <c r="A25" s="165" t="s">
        <v>183</v>
      </c>
      <c r="B25" s="178">
        <f t="shared" si="7"/>
        <v>0.13597969549509423</v>
      </c>
      <c r="C25" s="179">
        <f>SUM(C14:C21)</f>
        <v>40484881</v>
      </c>
      <c r="D25" s="179"/>
      <c r="E25" s="180">
        <f>SUM(E14:E21)</f>
        <v>47930811</v>
      </c>
      <c r="F25" s="180">
        <f>'НДФЛ 2024, темп 109.3'!L10</f>
        <v>55352251</v>
      </c>
      <c r="G25" s="180">
        <f>SUM(G14:G24)</f>
        <v>55678336</v>
      </c>
      <c r="H25" s="180">
        <f>H$26*B25</f>
        <v>60856421.248000003</v>
      </c>
      <c r="I25" s="180">
        <f>I$26*B25</f>
        <v>66150929.896576002</v>
      </c>
      <c r="J25" s="180">
        <f>J$26*B25</f>
        <v>71707608.007888392</v>
      </c>
      <c r="K25" s="180">
        <f>K$26*B25</f>
        <v>77444216.648519471</v>
      </c>
      <c r="M25" s="183"/>
      <c r="N25" s="183"/>
    </row>
    <row r="26" spans="1:15" x14ac:dyDescent="0.2">
      <c r="A26" s="165" t="s">
        <v>188</v>
      </c>
      <c r="C26" s="166">
        <f>'НДФЛ 2024, темп 109.3'!J15</f>
        <v>316355646</v>
      </c>
      <c r="D26" s="166"/>
      <c r="E26" s="166">
        <f>'НДФЛ 2024, темп 109.3'!K15</f>
        <v>342522113</v>
      </c>
      <c r="F26" s="166">
        <f>'НДФЛ 2024, темп 109.3'!L15</f>
        <v>409460661</v>
      </c>
      <c r="G26" s="166">
        <f>F26</f>
        <v>409460661</v>
      </c>
      <c r="H26" s="166">
        <f>'НДФЛ 2024, темп 109.3'!M15</f>
        <v>447540502.47299999</v>
      </c>
      <c r="I26" s="166">
        <f>'НДФЛ 2024, темп 109.3'!N15</f>
        <v>486476526.188151</v>
      </c>
      <c r="J26" s="166">
        <f>'НДФЛ 2024, темп 109.3'!O15</f>
        <v>527340554.38795573</v>
      </c>
      <c r="K26" s="166">
        <f>'НДФЛ 2024, темп 109.3'!P15</f>
        <v>569527798.73899221</v>
      </c>
    </row>
    <row r="27" spans="1:15" x14ac:dyDescent="0.2">
      <c r="A27" s="159" t="s">
        <v>192</v>
      </c>
      <c r="C27" s="167">
        <v>1.08</v>
      </c>
      <c r="D27" s="167"/>
      <c r="E27" s="167">
        <f>E26/C26</f>
        <v>1.0827121858922031</v>
      </c>
      <c r="F27" s="167">
        <f>F26/E26</f>
        <v>1.1954283985162732</v>
      </c>
      <c r="G27" s="167">
        <f>F27</f>
        <v>1.1954283985162732</v>
      </c>
      <c r="H27" s="167">
        <f>H26/F26</f>
        <v>1.093</v>
      </c>
      <c r="I27" s="167">
        <f>I26/H26</f>
        <v>1.087</v>
      </c>
      <c r="J27" s="167">
        <f>J26/I26</f>
        <v>1.0840000000000001</v>
      </c>
      <c r="K27" s="167">
        <f>K26/J26</f>
        <v>1.08</v>
      </c>
    </row>
    <row r="28" spans="1:15" x14ac:dyDescent="0.2">
      <c r="G28" s="203">
        <f>G25-F25</f>
        <v>326085</v>
      </c>
    </row>
    <row r="29" spans="1:15" x14ac:dyDescent="0.2">
      <c r="C29" s="181"/>
      <c r="D29" s="181"/>
      <c r="E29" s="181"/>
      <c r="F29" s="181"/>
    </row>
    <row r="31" spans="1:15" x14ac:dyDescent="0.2">
      <c r="C31" s="182"/>
    </row>
    <row r="32" spans="1:15" x14ac:dyDescent="0.2">
      <c r="C32" s="178"/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6"/>
  <sheetViews>
    <sheetView tabSelected="1" view="pageBreakPreview" zoomScale="55" zoomScaleNormal="100" zoomScaleSheetLayoutView="5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6" sqref="L6"/>
    </sheetView>
  </sheetViews>
  <sheetFormatPr defaultRowHeight="15" outlineLevelCol="1" x14ac:dyDescent="0.25"/>
  <cols>
    <col min="1" max="1" width="8.140625" customWidth="1"/>
    <col min="2" max="2" width="60.42578125" customWidth="1"/>
    <col min="3" max="3" width="56.28515625" customWidth="1"/>
    <col min="4" max="4" width="45.140625" customWidth="1"/>
    <col min="5" max="5" width="47.28515625" customWidth="1"/>
    <col min="6" max="6" width="23.85546875" hidden="1" customWidth="1" outlineLevel="1"/>
    <col min="7" max="7" width="22.140625" hidden="1" customWidth="1" outlineLevel="1"/>
    <col min="8" max="8" width="27.5703125" hidden="1" customWidth="1" outlineLevel="1"/>
    <col min="9" max="9" width="27.85546875" hidden="1" customWidth="1" outlineLevel="1"/>
    <col min="10" max="10" width="27.7109375" hidden="1" customWidth="1" outlineLevel="1"/>
    <col min="11" max="11" width="24.85546875" customWidth="1" collapsed="1"/>
    <col min="12" max="12" width="23" customWidth="1"/>
    <col min="13" max="16" width="29" customWidth="1"/>
    <col min="17" max="18" width="23.140625" style="186" customWidth="1"/>
    <col min="19" max="19" width="12.5703125" customWidth="1"/>
    <col min="20" max="20" width="11" bestFit="1" customWidth="1"/>
  </cols>
  <sheetData>
    <row r="1" spans="1:19" ht="25.9" customHeight="1" x14ac:dyDescent="0.4">
      <c r="A1" s="157"/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</row>
    <row r="2" spans="1:19" ht="25.9" customHeight="1" x14ac:dyDescent="0.45">
      <c r="A2" s="157"/>
      <c r="B2" s="280" t="s">
        <v>292</v>
      </c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</row>
    <row r="3" spans="1:19" ht="25.9" customHeight="1" x14ac:dyDescent="0.4">
      <c r="A3" s="157"/>
      <c r="B3" s="185"/>
      <c r="C3" s="185"/>
      <c r="D3" s="185"/>
      <c r="E3" s="185"/>
      <c r="F3" s="185"/>
      <c r="G3" s="185"/>
      <c r="H3" s="185"/>
      <c r="I3" s="185"/>
      <c r="J3" s="184"/>
      <c r="K3" s="198"/>
      <c r="L3" s="198"/>
      <c r="M3" s="199"/>
      <c r="N3" s="199"/>
      <c r="O3" s="184"/>
      <c r="P3" s="184"/>
    </row>
    <row r="4" spans="1:19" ht="20.25" x14ac:dyDescent="0.3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P4" s="227" t="s">
        <v>150</v>
      </c>
      <c r="R4"/>
    </row>
    <row r="5" spans="1:19" ht="92.25" customHeight="1" x14ac:dyDescent="0.35">
      <c r="A5" s="270"/>
      <c r="B5" s="271" t="s">
        <v>0</v>
      </c>
      <c r="C5" s="271"/>
      <c r="D5" s="271" t="s">
        <v>158</v>
      </c>
      <c r="E5" s="271" t="s">
        <v>167</v>
      </c>
      <c r="F5" s="271" t="s">
        <v>100</v>
      </c>
      <c r="G5" s="271" t="s">
        <v>151</v>
      </c>
      <c r="H5" s="228" t="s">
        <v>152</v>
      </c>
      <c r="I5" s="228" t="s">
        <v>201</v>
      </c>
      <c r="J5" s="228" t="s">
        <v>225</v>
      </c>
      <c r="K5" s="286" t="s">
        <v>314</v>
      </c>
      <c r="L5" s="286" t="s">
        <v>319</v>
      </c>
      <c r="M5" s="286" t="s">
        <v>315</v>
      </c>
      <c r="N5" s="286" t="s">
        <v>316</v>
      </c>
      <c r="O5" s="286" t="s">
        <v>317</v>
      </c>
      <c r="P5" s="286" t="s">
        <v>318</v>
      </c>
      <c r="Q5" s="187"/>
      <c r="R5" s="195"/>
      <c r="S5" s="195"/>
    </row>
    <row r="6" spans="1:19" ht="46.5" x14ac:dyDescent="0.35">
      <c r="A6" s="229" t="s">
        <v>297</v>
      </c>
      <c r="B6" s="230" t="s">
        <v>224</v>
      </c>
      <c r="C6" s="230"/>
      <c r="D6" s="230"/>
      <c r="E6" s="241"/>
      <c r="F6" s="228"/>
      <c r="G6" s="231">
        <f t="shared" ref="G6:I6" si="0">G10*22%</f>
        <v>6455721.7999999998</v>
      </c>
      <c r="H6" s="231">
        <f t="shared" si="0"/>
        <v>6861518.4000000004</v>
      </c>
      <c r="I6" s="231">
        <f t="shared" si="0"/>
        <v>7393112.3200000003</v>
      </c>
      <c r="J6" s="231">
        <f>J10*22%</f>
        <v>8906673.8200000003</v>
      </c>
      <c r="K6" s="287">
        <v>10396640</v>
      </c>
      <c r="L6" s="287">
        <f>L10-L67</f>
        <v>11980152</v>
      </c>
      <c r="M6" s="287">
        <f>M69</f>
        <v>14417581.601842813</v>
      </c>
      <c r="N6" s="287">
        <f t="shared" ref="N6:P6" si="1">N69</f>
        <v>15301380.800592199</v>
      </c>
      <c r="O6" s="287">
        <f t="shared" si="1"/>
        <v>16554258.045383997</v>
      </c>
      <c r="P6" s="287">
        <f t="shared" si="1"/>
        <v>17849011.826955292</v>
      </c>
      <c r="Q6" s="199"/>
      <c r="R6"/>
    </row>
    <row r="7" spans="1:19" ht="23.25" x14ac:dyDescent="0.35">
      <c r="A7" s="229"/>
      <c r="B7" s="230" t="s">
        <v>223</v>
      </c>
      <c r="C7" s="230"/>
      <c r="D7" s="230"/>
      <c r="E7" s="232"/>
      <c r="F7" s="233"/>
      <c r="G7" s="231"/>
      <c r="H7" s="231"/>
      <c r="I7" s="231">
        <f t="shared" ref="I7:J7" si="2">I9*I8</f>
        <v>33605056</v>
      </c>
      <c r="J7" s="231">
        <f t="shared" si="2"/>
        <v>40484881</v>
      </c>
      <c r="K7" s="287">
        <f t="shared" ref="K7:P7" si="3">K9*K8</f>
        <v>47930814</v>
      </c>
      <c r="L7" s="287">
        <f t="shared" si="3"/>
        <v>55352251</v>
      </c>
      <c r="M7" s="287">
        <f t="shared" si="3"/>
        <v>66790477.006208405</v>
      </c>
      <c r="N7" s="287">
        <f t="shared" si="3"/>
        <v>70890871.43125245</v>
      </c>
      <c r="O7" s="287">
        <f t="shared" si="3"/>
        <v>76675102.357080415</v>
      </c>
      <c r="P7" s="287">
        <f t="shared" si="3"/>
        <v>82652585.108797148</v>
      </c>
      <c r="Q7" s="188"/>
      <c r="R7"/>
    </row>
    <row r="8" spans="1:19" ht="23.25" x14ac:dyDescent="0.35">
      <c r="A8" s="229"/>
      <c r="B8" s="230" t="s">
        <v>222</v>
      </c>
      <c r="C8" s="230"/>
      <c r="D8" s="230"/>
      <c r="E8" s="232"/>
      <c r="F8" s="233"/>
      <c r="G8" s="234">
        <f>G10/G9</f>
        <v>0.97943240828455558</v>
      </c>
      <c r="H8" s="234">
        <f t="shared" ref="H8" si="4">H10/H9</f>
        <v>0.99999431897399937</v>
      </c>
      <c r="I8" s="234">
        <f>I10/I9</f>
        <v>1.0000582947417105</v>
      </c>
      <c r="J8" s="234">
        <f>J10/J9</f>
        <v>1.000020976351468</v>
      </c>
      <c r="K8" s="288">
        <f>K10/K9</f>
        <v>0.99998917413600541</v>
      </c>
      <c r="L8" s="288">
        <f>L10/L9</f>
        <v>1.0015009691920949</v>
      </c>
      <c r="M8" s="288">
        <v>1</v>
      </c>
      <c r="N8" s="288">
        <v>1</v>
      </c>
      <c r="O8" s="288">
        <v>1</v>
      </c>
      <c r="P8" s="288">
        <v>1</v>
      </c>
      <c r="Q8" s="188"/>
      <c r="R8"/>
    </row>
    <row r="9" spans="1:19" ht="23.25" x14ac:dyDescent="0.35">
      <c r="A9" s="229"/>
      <c r="B9" s="230" t="s">
        <v>179</v>
      </c>
      <c r="C9" s="230"/>
      <c r="D9" s="230"/>
      <c r="E9" s="232"/>
      <c r="F9" s="233">
        <f>F11+F24+F28+F32+F35</f>
        <v>0</v>
      </c>
      <c r="G9" s="231">
        <f>G11+G24+G28+G32+G35</f>
        <v>29960403.343601227</v>
      </c>
      <c r="H9" s="231">
        <f>H11+H24+H28+H32+H35</f>
        <v>31188897.184935838</v>
      </c>
      <c r="I9" s="231">
        <f>I11+I24+I28+I32+I35</f>
        <v>33603097.116132945</v>
      </c>
      <c r="J9" s="231">
        <f>J11+J24+J28+J32+J35+J37+J42+J43</f>
        <v>40484031.792720273</v>
      </c>
      <c r="K9" s="287">
        <f>K11+K24+K28+K32+K35+K37+K42+K43+K46+K25+K29</f>
        <v>47931332.898091033</v>
      </c>
      <c r="L9" s="287">
        <f>L11+L24+L28+L32+L35+L37+L42+L43+L46+L25+L29+L48+L57</f>
        <v>55269293.493197858</v>
      </c>
      <c r="M9" s="287">
        <f>M11+M24+M28+M32+M35+M37+M42+M43+M46+M25+M29+M57+M48</f>
        <v>66790477.006208405</v>
      </c>
      <c r="N9" s="287">
        <f>N11+N24+N28+N32+N35+N37+N42+N43+N46+N25+N29+N57+N48</f>
        <v>70890871.43125245</v>
      </c>
      <c r="O9" s="287">
        <f>O11+O24+O28+O32+O35+O37+O42+O43+O46+O25+O29+O57+O48</f>
        <v>76675102.357080415</v>
      </c>
      <c r="P9" s="287">
        <f>P11+P24+P28+P32+P35+P37+P42+P43+P46+P25+P29+P57+P48</f>
        <v>82652585.108797148</v>
      </c>
      <c r="Q9" s="199"/>
      <c r="R9"/>
    </row>
    <row r="10" spans="1:19" ht="69.75" x14ac:dyDescent="0.35">
      <c r="A10" s="229"/>
      <c r="B10" s="230" t="s">
        <v>180</v>
      </c>
      <c r="C10" s="235" t="s">
        <v>204</v>
      </c>
      <c r="D10" s="230"/>
      <c r="E10" s="236" t="s">
        <v>202</v>
      </c>
      <c r="F10" s="228"/>
      <c r="G10" s="231">
        <f>'Налоговая ставка'!B9</f>
        <v>29344190</v>
      </c>
      <c r="H10" s="231">
        <f>'Налоговая ставка'!D9</f>
        <v>31188720</v>
      </c>
      <c r="I10" s="231">
        <f>'Налоговая ставка'!G9</f>
        <v>33605056</v>
      </c>
      <c r="J10" s="231">
        <f>'Налоговая ставка'!C25</f>
        <v>40484881</v>
      </c>
      <c r="K10" s="287">
        <f>K14+K24+K28+K32+K35+K37+K42+K43+K46</f>
        <v>47930814</v>
      </c>
      <c r="L10" s="287">
        <v>55352251</v>
      </c>
      <c r="M10" s="289"/>
      <c r="N10" s="289"/>
      <c r="O10" s="289"/>
      <c r="P10" s="289"/>
      <c r="Q10" s="199"/>
      <c r="R10"/>
    </row>
    <row r="11" spans="1:19" ht="47.25" x14ac:dyDescent="0.35">
      <c r="A11" s="229" t="s">
        <v>300</v>
      </c>
      <c r="B11" s="230" t="s">
        <v>153</v>
      </c>
      <c r="C11" s="236" t="s">
        <v>163</v>
      </c>
      <c r="D11" s="237">
        <v>1.821010201E+17</v>
      </c>
      <c r="E11" s="236" t="s">
        <v>181</v>
      </c>
      <c r="F11" s="228"/>
      <c r="G11" s="238">
        <f>(G15-G17*G18)*G19*G20-G21</f>
        <v>28690677.343601227</v>
      </c>
      <c r="H11" s="238">
        <f t="shared" ref="H11:J11" si="5">(H15-H17)*H19*H20-H21</f>
        <v>29883350.184935838</v>
      </c>
      <c r="I11" s="238">
        <f t="shared" si="5"/>
        <v>32063796.116132941</v>
      </c>
      <c r="J11" s="238">
        <f t="shared" si="5"/>
        <v>33763747.792720273</v>
      </c>
      <c r="K11" s="290">
        <f>(K15-K17)*K19*K20-K21</f>
        <v>38509369.898091033</v>
      </c>
      <c r="L11" s="290">
        <v>43346370</v>
      </c>
      <c r="M11" s="290">
        <f>(M15-M17)*M19*M20+M21+M22</f>
        <v>51259259.787513904</v>
      </c>
      <c r="N11" s="290">
        <f t="shared" ref="N11:P11" si="6">(N15-N17)*N19*N20+N21+N22</f>
        <v>55718815.389027633</v>
      </c>
      <c r="O11" s="290">
        <f>(O15-O17)*O19*O20+O21+O22</f>
        <v>60399195.881705947</v>
      </c>
      <c r="P11" s="290">
        <f t="shared" si="6"/>
        <v>65231131.552242421</v>
      </c>
      <c r="Q11" s="199"/>
      <c r="R11" s="195"/>
      <c r="S11" s="195"/>
    </row>
    <row r="12" spans="1:19" ht="23.25" x14ac:dyDescent="0.35">
      <c r="A12" s="229"/>
      <c r="B12" s="239" t="s">
        <v>176</v>
      </c>
      <c r="C12" s="236"/>
      <c r="D12" s="237"/>
      <c r="E12" s="236" t="s">
        <v>194</v>
      </c>
      <c r="F12" s="228"/>
      <c r="G12" s="228">
        <v>29527177</v>
      </c>
      <c r="H12" s="228">
        <v>32124781</v>
      </c>
      <c r="I12" s="228">
        <v>34480342</v>
      </c>
      <c r="J12" s="228">
        <v>37341527</v>
      </c>
      <c r="K12" s="290">
        <v>41655613</v>
      </c>
      <c r="L12" s="290">
        <v>50047139</v>
      </c>
      <c r="M12" s="291">
        <f>M11/L14*100</f>
        <v>118.25502294082273</v>
      </c>
      <c r="N12" s="291"/>
      <c r="O12" s="291"/>
      <c r="P12" s="290"/>
      <c r="Q12" s="189"/>
      <c r="R12" s="196"/>
      <c r="S12" s="196"/>
    </row>
    <row r="13" spans="1:19" ht="23.25" x14ac:dyDescent="0.35">
      <c r="A13" s="229"/>
      <c r="B13" s="239" t="s">
        <v>177</v>
      </c>
      <c r="C13" s="236"/>
      <c r="D13" s="237"/>
      <c r="E13" s="236" t="s">
        <v>195</v>
      </c>
      <c r="F13" s="228"/>
      <c r="G13" s="228">
        <v>28937840</v>
      </c>
      <c r="H13" s="228">
        <v>31746402</v>
      </c>
      <c r="I13" s="228">
        <v>34184001.799999997</v>
      </c>
      <c r="J13" s="228">
        <v>37000165</v>
      </c>
      <c r="K13" s="290">
        <v>41200382</v>
      </c>
      <c r="L13" s="290">
        <v>26185263</v>
      </c>
      <c r="M13" s="290"/>
      <c r="N13" s="290"/>
      <c r="O13" s="290"/>
      <c r="P13" s="290"/>
      <c r="Q13" s="189"/>
      <c r="R13" s="196"/>
      <c r="S13" s="196"/>
    </row>
    <row r="14" spans="1:19" ht="23.25" x14ac:dyDescent="0.35">
      <c r="A14" s="229"/>
      <c r="B14" s="239" t="s">
        <v>190</v>
      </c>
      <c r="C14" s="236"/>
      <c r="D14" s="237"/>
      <c r="E14" s="236" t="s">
        <v>203</v>
      </c>
      <c r="F14" s="228"/>
      <c r="G14" s="231">
        <v>28074464</v>
      </c>
      <c r="H14" s="231">
        <v>29883173</v>
      </c>
      <c r="I14" s="231">
        <v>32065755</v>
      </c>
      <c r="J14" s="231">
        <v>33764597</v>
      </c>
      <c r="K14" s="290">
        <v>38508851</v>
      </c>
      <c r="L14" s="290">
        <v>43346370</v>
      </c>
      <c r="M14" s="290"/>
      <c r="N14" s="290"/>
      <c r="O14" s="290"/>
      <c r="P14" s="290"/>
      <c r="Q14" s="189"/>
      <c r="R14" s="196"/>
      <c r="S14" s="196"/>
    </row>
    <row r="15" spans="1:19" ht="31.5" x14ac:dyDescent="0.35">
      <c r="A15" s="229"/>
      <c r="B15" s="241"/>
      <c r="C15" s="236" t="s">
        <v>168</v>
      </c>
      <c r="D15" s="230"/>
      <c r="E15" s="236" t="s">
        <v>196</v>
      </c>
      <c r="F15" s="240"/>
      <c r="G15" s="228">
        <v>232117510</v>
      </c>
      <c r="H15" s="228">
        <v>264537720</v>
      </c>
      <c r="I15" s="228">
        <v>377662873</v>
      </c>
      <c r="J15" s="231">
        <v>316355646</v>
      </c>
      <c r="K15" s="287">
        <v>342522113</v>
      </c>
      <c r="L15" s="287">
        <v>409460661</v>
      </c>
      <c r="M15" s="287">
        <f>L15*M16</f>
        <v>447540502.47299999</v>
      </c>
      <c r="N15" s="287">
        <f>M15*N16</f>
        <v>486476526.188151</v>
      </c>
      <c r="O15" s="287">
        <f>N15*O16</f>
        <v>527340554.38795573</v>
      </c>
      <c r="P15" s="287">
        <f>O15*P16</f>
        <v>569527798.73899221</v>
      </c>
      <c r="Q15" s="189"/>
      <c r="R15" s="196"/>
      <c r="S15" s="196"/>
    </row>
    <row r="16" spans="1:19" ht="78.75" x14ac:dyDescent="0.35">
      <c r="A16" s="229"/>
      <c r="B16" s="241"/>
      <c r="C16" s="236" t="s">
        <v>270</v>
      </c>
      <c r="D16" s="230"/>
      <c r="E16" s="236" t="s">
        <v>279</v>
      </c>
      <c r="F16" s="242"/>
      <c r="G16" s="242"/>
      <c r="H16" s="242"/>
      <c r="I16" s="242"/>
      <c r="J16" s="234">
        <v>1.119</v>
      </c>
      <c r="K16" s="288">
        <v>1.1399999999999999</v>
      </c>
      <c r="L16" s="288">
        <v>1.1279999999999999</v>
      </c>
      <c r="M16" s="288">
        <v>1.093</v>
      </c>
      <c r="N16" s="288">
        <v>1.087</v>
      </c>
      <c r="O16" s="288">
        <v>1.0840000000000001</v>
      </c>
      <c r="P16" s="288">
        <v>1.08</v>
      </c>
      <c r="Q16" s="191"/>
      <c r="R16" s="196"/>
      <c r="S16" s="196"/>
    </row>
    <row r="17" spans="1:19" ht="23.25" x14ac:dyDescent="0.35">
      <c r="A17" s="229"/>
      <c r="B17" s="241"/>
      <c r="C17" s="243" t="s">
        <v>169</v>
      </c>
      <c r="D17" s="230"/>
      <c r="E17" s="243" t="s">
        <v>197</v>
      </c>
      <c r="F17" s="240"/>
      <c r="G17" s="240">
        <v>4988073</v>
      </c>
      <c r="H17" s="240">
        <v>17422554.800000001</v>
      </c>
      <c r="I17" s="240">
        <v>112445676</v>
      </c>
      <c r="J17" s="233">
        <v>29120355</v>
      </c>
      <c r="K17" s="287">
        <v>22090003</v>
      </c>
      <c r="L17" s="287">
        <v>24475506</v>
      </c>
      <c r="M17" s="287">
        <f>L17*M18</f>
        <v>26751728.057999998</v>
      </c>
      <c r="N17" s="287">
        <f>M17*N18</f>
        <v>29079128.399045996</v>
      </c>
      <c r="O17" s="287">
        <f>N17*O18</f>
        <v>31521775.184565861</v>
      </c>
      <c r="P17" s="287">
        <f>O17*P18</f>
        <v>34043517.199331135</v>
      </c>
      <c r="Q17" s="192"/>
      <c r="R17" s="196"/>
      <c r="S17" s="196"/>
    </row>
    <row r="18" spans="1:19" ht="47.25" x14ac:dyDescent="0.35">
      <c r="A18" s="229"/>
      <c r="B18" s="241"/>
      <c r="C18" s="236" t="s">
        <v>170</v>
      </c>
      <c r="D18" s="230"/>
      <c r="E18" s="236"/>
      <c r="F18" s="240"/>
      <c r="G18" s="244"/>
      <c r="H18" s="242"/>
      <c r="I18" s="242"/>
      <c r="J18" s="245"/>
      <c r="K18" s="292">
        <f>K16</f>
        <v>1.1399999999999999</v>
      </c>
      <c r="L18" s="292">
        <f t="shared" ref="L18:O18" si="7">L16</f>
        <v>1.1279999999999999</v>
      </c>
      <c r="M18" s="292">
        <f t="shared" si="7"/>
        <v>1.093</v>
      </c>
      <c r="N18" s="292">
        <f t="shared" si="7"/>
        <v>1.087</v>
      </c>
      <c r="O18" s="292">
        <f t="shared" si="7"/>
        <v>1.0840000000000001</v>
      </c>
      <c r="P18" s="292">
        <f t="shared" ref="P18" si="8">P16</f>
        <v>1.08</v>
      </c>
      <c r="Q18" s="191"/>
      <c r="R18" s="196"/>
      <c r="S18" s="196"/>
    </row>
    <row r="19" spans="1:19" ht="23.25" x14ac:dyDescent="0.35">
      <c r="A19" s="229"/>
      <c r="B19" s="241"/>
      <c r="C19" s="243" t="s">
        <v>171</v>
      </c>
      <c r="D19" s="243" t="s">
        <v>173</v>
      </c>
      <c r="E19" s="236" t="s">
        <v>172</v>
      </c>
      <c r="F19" s="242"/>
      <c r="G19" s="246">
        <v>0.13</v>
      </c>
      <c r="H19" s="246">
        <v>0.13</v>
      </c>
      <c r="I19" s="246">
        <v>0.13</v>
      </c>
      <c r="J19" s="246">
        <v>0.13</v>
      </c>
      <c r="K19" s="293">
        <v>0.13</v>
      </c>
      <c r="L19" s="293">
        <v>0.13</v>
      </c>
      <c r="M19" s="293">
        <v>0.13</v>
      </c>
      <c r="N19" s="293">
        <v>0.13</v>
      </c>
      <c r="O19" s="293">
        <v>0.13</v>
      </c>
      <c r="P19" s="293">
        <v>0.13</v>
      </c>
      <c r="Q19" s="193"/>
      <c r="R19" s="196"/>
      <c r="S19" s="196"/>
    </row>
    <row r="20" spans="1:19" ht="31.5" x14ac:dyDescent="0.35">
      <c r="A20" s="229"/>
      <c r="B20" s="241"/>
      <c r="C20" s="236" t="s">
        <v>174</v>
      </c>
      <c r="D20" s="243"/>
      <c r="E20" s="247" t="s">
        <v>175</v>
      </c>
      <c r="F20" s="242"/>
      <c r="G20" s="242">
        <f t="shared" ref="G20:L20" si="9">G14/G12</f>
        <v>0.95080081648171111</v>
      </c>
      <c r="H20" s="234">
        <f t="shared" si="9"/>
        <v>0.93022184338003733</v>
      </c>
      <c r="I20" s="234">
        <f t="shared" si="9"/>
        <v>0.92997206930256082</v>
      </c>
      <c r="J20" s="234">
        <f t="shared" si="9"/>
        <v>0.90421039825179084</v>
      </c>
      <c r="K20" s="288">
        <f t="shared" si="9"/>
        <v>0.92445767152676395</v>
      </c>
      <c r="L20" s="288">
        <f t="shared" si="9"/>
        <v>0.86611084801470872</v>
      </c>
      <c r="M20" s="288">
        <f>K20</f>
        <v>0.92445767152676395</v>
      </c>
      <c r="N20" s="288">
        <f>K20</f>
        <v>0.92445767152676395</v>
      </c>
      <c r="O20" s="288">
        <f>K20</f>
        <v>0.92445767152676395</v>
      </c>
      <c r="P20" s="288">
        <f>K20</f>
        <v>0.92445767152676395</v>
      </c>
      <c r="Q20" s="194"/>
      <c r="R20" s="196"/>
      <c r="S20" s="196"/>
    </row>
    <row r="21" spans="1:19" ht="40.5" x14ac:dyDescent="0.4">
      <c r="A21" s="229"/>
      <c r="B21" s="248" t="s">
        <v>271</v>
      </c>
      <c r="C21" s="236" t="s">
        <v>272</v>
      </c>
      <c r="D21" s="249"/>
      <c r="E21" s="250"/>
      <c r="F21" s="233"/>
      <c r="G21" s="231"/>
      <c r="H21" s="231"/>
      <c r="I21" s="231"/>
      <c r="J21" s="231"/>
      <c r="K21" s="287"/>
      <c r="L21" s="287"/>
      <c r="M21" s="287">
        <f>'201 КБК'!I9</f>
        <v>689076.409476</v>
      </c>
      <c r="N21" s="287">
        <f>M21*N16</f>
        <v>749026.05710041197</v>
      </c>
      <c r="O21" s="287">
        <f>N21*O16</f>
        <v>811944.24589684664</v>
      </c>
      <c r="P21" s="287">
        <f>O21*P16</f>
        <v>876899.78556859447</v>
      </c>
      <c r="R21" s="196"/>
      <c r="S21" s="196"/>
    </row>
    <row r="22" spans="1:19" s="157" customFormat="1" ht="23.25" x14ac:dyDescent="0.35">
      <c r="A22" s="229"/>
      <c r="B22" s="248" t="s">
        <v>277</v>
      </c>
      <c r="C22" s="232"/>
      <c r="D22" s="251"/>
      <c r="E22" s="232"/>
      <c r="F22" s="252"/>
      <c r="G22" s="252"/>
      <c r="H22" s="252"/>
      <c r="I22" s="252"/>
      <c r="J22" s="253">
        <v>1783898</v>
      </c>
      <c r="K22" s="294"/>
      <c r="L22" s="294"/>
      <c r="M22" s="294"/>
      <c r="N22" s="294"/>
      <c r="O22" s="294"/>
      <c r="P22" s="294"/>
      <c r="Q22" s="200"/>
      <c r="R22" s="201"/>
      <c r="S22" s="201"/>
    </row>
    <row r="23" spans="1:19" s="157" customFormat="1" ht="40.5" x14ac:dyDescent="0.35">
      <c r="A23" s="229"/>
      <c r="B23" s="254" t="s">
        <v>269</v>
      </c>
      <c r="C23" s="236"/>
      <c r="D23" s="243"/>
      <c r="E23" s="236"/>
      <c r="F23" s="240"/>
      <c r="G23" s="240"/>
      <c r="H23" s="240"/>
      <c r="I23" s="240"/>
      <c r="J23" s="231"/>
      <c r="K23" s="290"/>
      <c r="L23" s="290">
        <f>-166575</f>
        <v>-166575</v>
      </c>
      <c r="M23" s="290"/>
      <c r="N23" s="290"/>
      <c r="O23" s="290"/>
      <c r="P23" s="290"/>
      <c r="Q23" s="200"/>
      <c r="R23" s="201"/>
      <c r="S23" s="201"/>
    </row>
    <row r="24" spans="1:19" ht="94.5" x14ac:dyDescent="0.35">
      <c r="A24" s="229" t="s">
        <v>299</v>
      </c>
      <c r="B24" s="230" t="s">
        <v>154</v>
      </c>
      <c r="C24" s="236" t="s">
        <v>164</v>
      </c>
      <c r="D24" s="230" t="s">
        <v>159</v>
      </c>
      <c r="E24" s="236" t="s">
        <v>293</v>
      </c>
      <c r="F24" s="228"/>
      <c r="G24" s="238">
        <f>'Налоговая ставка'!B5</f>
        <v>345090</v>
      </c>
      <c r="H24" s="238">
        <f>'Налоговая ставка'!D5</f>
        <v>362250</v>
      </c>
      <c r="I24" s="238">
        <f>'Налоговая ставка'!G5</f>
        <v>582824</v>
      </c>
      <c r="J24" s="238">
        <f>'Налоговая ставка'!C15</f>
        <v>1005190</v>
      </c>
      <c r="K24" s="290">
        <f>'Налоговая ставка'!E15</f>
        <v>200024</v>
      </c>
      <c r="L24" s="290">
        <f>'Налоговая ставка'!F15</f>
        <v>392686</v>
      </c>
      <c r="M24" s="287">
        <f>'Налоговая ставка'!H15</f>
        <v>526584.44700000004</v>
      </c>
      <c r="N24" s="290">
        <f>'Налоговая ставка'!I15</f>
        <v>572397.29388899996</v>
      </c>
      <c r="O24" s="290">
        <f>'Налоговая ставка'!J15</f>
        <v>620478.66657567606</v>
      </c>
      <c r="P24" s="290">
        <f>'Налоговая ставка'!K15</f>
        <v>670116.95990173018</v>
      </c>
      <c r="Q24" s="199"/>
      <c r="R24" s="195"/>
      <c r="S24" s="195"/>
    </row>
    <row r="25" spans="1:19" ht="81" x14ac:dyDescent="0.35">
      <c r="A25" s="229"/>
      <c r="B25" s="239" t="s">
        <v>227</v>
      </c>
      <c r="C25" s="236"/>
      <c r="D25" s="236" t="s">
        <v>218</v>
      </c>
      <c r="E25" s="236"/>
      <c r="F25" s="228"/>
      <c r="G25" s="228"/>
      <c r="H25" s="228"/>
      <c r="I25" s="228"/>
      <c r="J25" s="228">
        <v>308641</v>
      </c>
      <c r="K25" s="290"/>
      <c r="L25" s="290"/>
      <c r="M25" s="290"/>
      <c r="N25" s="290"/>
      <c r="O25" s="290"/>
      <c r="P25" s="290"/>
      <c r="Q25" s="190"/>
      <c r="R25" s="196"/>
      <c r="S25" s="196"/>
    </row>
    <row r="26" spans="1:19" ht="40.5" x14ac:dyDescent="0.35">
      <c r="A26" s="229"/>
      <c r="B26" s="239" t="s">
        <v>229</v>
      </c>
      <c r="C26" s="236"/>
      <c r="D26" s="236"/>
      <c r="E26" s="236"/>
      <c r="F26" s="228"/>
      <c r="G26" s="228"/>
      <c r="H26" s="228"/>
      <c r="I26" s="228"/>
      <c r="J26" s="228"/>
      <c r="K26" s="290">
        <f>J24-K24</f>
        <v>805166</v>
      </c>
      <c r="L26" s="290"/>
      <c r="M26" s="290"/>
      <c r="N26" s="290"/>
      <c r="O26" s="290"/>
      <c r="P26" s="290"/>
      <c r="Q26" s="190"/>
      <c r="R26" s="196"/>
      <c r="S26" s="196"/>
    </row>
    <row r="27" spans="1:19" ht="40.5" x14ac:dyDescent="0.35">
      <c r="A27" s="229"/>
      <c r="B27" s="254" t="s">
        <v>269</v>
      </c>
      <c r="C27" s="236"/>
      <c r="D27" s="236"/>
      <c r="E27" s="236"/>
      <c r="F27" s="228"/>
      <c r="G27" s="228"/>
      <c r="H27" s="228"/>
      <c r="I27" s="228"/>
      <c r="J27" s="228"/>
      <c r="K27" s="290"/>
      <c r="L27" s="290">
        <f>-89093</f>
        <v>-89093</v>
      </c>
      <c r="M27" s="290"/>
      <c r="N27" s="290"/>
      <c r="O27" s="290"/>
      <c r="P27" s="290"/>
      <c r="Q27" s="190"/>
      <c r="R27" s="196"/>
      <c r="S27" s="196"/>
    </row>
    <row r="28" spans="1:19" ht="47.25" x14ac:dyDescent="0.35">
      <c r="A28" s="229" t="s">
        <v>298</v>
      </c>
      <c r="B28" s="230" t="s">
        <v>155</v>
      </c>
      <c r="C28" s="236" t="s">
        <v>165</v>
      </c>
      <c r="D28" s="230" t="s">
        <v>160</v>
      </c>
      <c r="E28" s="247" t="s">
        <v>191</v>
      </c>
      <c r="F28" s="240"/>
      <c r="G28" s="238">
        <f>'Налоговая ставка'!B6</f>
        <v>592027</v>
      </c>
      <c r="H28" s="238">
        <f>'Налоговая ставка'!D6</f>
        <v>615678</v>
      </c>
      <c r="I28" s="238">
        <f>'Налоговая ставка'!G6</f>
        <v>581624</v>
      </c>
      <c r="J28" s="238">
        <f>'Налоговая ставка'!C16</f>
        <v>1199086</v>
      </c>
      <c r="K28" s="290">
        <f>'Налоговая ставка'!E16</f>
        <v>995065</v>
      </c>
      <c r="L28" s="290">
        <f>'Налоговая ставка'!F16</f>
        <v>942335</v>
      </c>
      <c r="M28" s="287">
        <f>'Налоговая ставка'!H16+M30+M31</f>
        <v>1616193.1549999998</v>
      </c>
      <c r="N28" s="290">
        <f>'Налоговая ставка'!I16</f>
        <v>1119579.732485</v>
      </c>
      <c r="O28" s="290">
        <f>'Налоговая ставка'!J16</f>
        <v>1213624.43001374</v>
      </c>
      <c r="P28" s="290">
        <f>'Налоговая ставка'!K16</f>
        <v>1310714.3844148393</v>
      </c>
      <c r="Q28" s="199"/>
      <c r="R28" s="195"/>
      <c r="S28" s="195"/>
    </row>
    <row r="29" spans="1:19" ht="47.25" x14ac:dyDescent="0.35">
      <c r="A29" s="229"/>
      <c r="B29" s="230" t="s">
        <v>200</v>
      </c>
      <c r="C29" s="236"/>
      <c r="D29" s="236" t="s">
        <v>219</v>
      </c>
      <c r="E29" s="256"/>
      <c r="F29" s="240"/>
      <c r="G29" s="238"/>
      <c r="H29" s="238"/>
      <c r="I29" s="238"/>
      <c r="J29" s="238">
        <v>273479</v>
      </c>
      <c r="K29" s="290"/>
      <c r="L29" s="290">
        <v>-52516</v>
      </c>
      <c r="M29" s="290"/>
      <c r="N29" s="290"/>
      <c r="O29" s="290"/>
      <c r="P29" s="290"/>
      <c r="Q29" s="190"/>
      <c r="R29" s="196"/>
      <c r="S29" s="196"/>
    </row>
    <row r="30" spans="1:19" ht="141.75" x14ac:dyDescent="0.35">
      <c r="A30" s="229"/>
      <c r="B30" s="230"/>
      <c r="C30" s="236" t="s">
        <v>284</v>
      </c>
      <c r="D30" s="236" t="s">
        <v>250</v>
      </c>
      <c r="E30" s="236" t="s">
        <v>285</v>
      </c>
      <c r="F30" s="240"/>
      <c r="G30" s="238"/>
      <c r="H30" s="238"/>
      <c r="I30" s="238"/>
      <c r="J30" s="238"/>
      <c r="K30" s="290"/>
      <c r="L30" s="290"/>
      <c r="M30" s="290">
        <v>286221</v>
      </c>
      <c r="N30" s="290"/>
      <c r="O30" s="290"/>
      <c r="P30" s="290"/>
      <c r="Q30" s="190"/>
      <c r="R30" s="196"/>
      <c r="S30" s="196"/>
    </row>
    <row r="31" spans="1:19" ht="23.25" x14ac:dyDescent="0.35">
      <c r="A31" s="229"/>
      <c r="B31" s="237"/>
      <c r="C31" s="241"/>
      <c r="D31" s="236"/>
      <c r="E31" s="236" t="s">
        <v>287</v>
      </c>
      <c r="F31" s="240"/>
      <c r="G31" s="238"/>
      <c r="H31" s="238"/>
      <c r="I31" s="238"/>
      <c r="J31" s="238"/>
      <c r="K31" s="290"/>
      <c r="L31" s="290"/>
      <c r="M31" s="287">
        <v>300000</v>
      </c>
      <c r="N31" s="290"/>
      <c r="O31" s="290"/>
      <c r="P31" s="290"/>
      <c r="Q31" s="190"/>
      <c r="R31" s="196"/>
      <c r="S31" s="196"/>
    </row>
    <row r="32" spans="1:19" ht="63" x14ac:dyDescent="0.35">
      <c r="A32" s="229" t="s">
        <v>302</v>
      </c>
      <c r="B32" s="230" t="s">
        <v>156</v>
      </c>
      <c r="C32" s="236" t="s">
        <v>221</v>
      </c>
      <c r="D32" s="230" t="s">
        <v>161</v>
      </c>
      <c r="E32" s="247" t="s">
        <v>191</v>
      </c>
      <c r="F32" s="228"/>
      <c r="G32" s="238">
        <f>'Налоговая ставка'!B7</f>
        <v>332606</v>
      </c>
      <c r="H32" s="238">
        <f>'Налоговая ставка'!D7</f>
        <v>327619</v>
      </c>
      <c r="I32" s="238">
        <f>'Налоговая ставка'!G7</f>
        <v>358916</v>
      </c>
      <c r="J32" s="238">
        <f>'Налоговая ставка'!C17</f>
        <v>579714</v>
      </c>
      <c r="K32" s="290">
        <f>'Налоговая ставка'!E17</f>
        <v>959737</v>
      </c>
      <c r="L32" s="290">
        <f>'Налоговая ставка'!F17</f>
        <v>1284529</v>
      </c>
      <c r="M32" s="290">
        <f>'Налоговая ставка'!H17+M34</f>
        <v>1803479</v>
      </c>
      <c r="N32" s="290">
        <f>'Налоговая ставка'!I17+N34</f>
        <v>1925626.147139</v>
      </c>
      <c r="O32" s="290">
        <f>'Налоговая ставка'!J17+O34</f>
        <v>2053821.6840466761</v>
      </c>
      <c r="P32" s="290">
        <f>'Налоговая ставка'!K17+P34</f>
        <v>2186168.3145304103</v>
      </c>
      <c r="Q32" s="199"/>
      <c r="R32" s="195"/>
      <c r="S32" s="195"/>
    </row>
    <row r="33" spans="1:19" ht="40.5" x14ac:dyDescent="0.35">
      <c r="A33" s="229"/>
      <c r="B33" s="239" t="s">
        <v>231</v>
      </c>
      <c r="C33" s="236"/>
      <c r="D33" s="230"/>
      <c r="E33" s="247"/>
      <c r="F33" s="228"/>
      <c r="G33" s="238"/>
      <c r="H33" s="238"/>
      <c r="I33" s="238"/>
      <c r="J33" s="238"/>
      <c r="K33" s="290">
        <f>K32-J32</f>
        <v>380023</v>
      </c>
      <c r="L33" s="290"/>
      <c r="M33" s="290"/>
      <c r="N33" s="290"/>
      <c r="O33" s="290"/>
      <c r="P33" s="290"/>
      <c r="Q33" s="190"/>
      <c r="R33" s="195"/>
      <c r="S33" s="195"/>
    </row>
    <row r="34" spans="1:19" ht="110.25" x14ac:dyDescent="0.35">
      <c r="A34" s="229"/>
      <c r="B34" s="239" t="s">
        <v>283</v>
      </c>
      <c r="C34" s="257"/>
      <c r="D34" s="258"/>
      <c r="E34" s="236" t="s">
        <v>282</v>
      </c>
      <c r="F34" s="228"/>
      <c r="G34" s="238"/>
      <c r="H34" s="238"/>
      <c r="I34" s="238"/>
      <c r="J34" s="238"/>
      <c r="K34" s="290"/>
      <c r="L34" s="290"/>
      <c r="M34" s="290">
        <f>'204 КБК'!H5</f>
        <v>399488.80300000007</v>
      </c>
      <c r="N34" s="290">
        <f>M34</f>
        <v>399488.80300000007</v>
      </c>
      <c r="O34" s="290">
        <f>M34</f>
        <v>399488.80300000007</v>
      </c>
      <c r="P34" s="290">
        <f>M34</f>
        <v>399488.80300000007</v>
      </c>
      <c r="Q34" s="190"/>
      <c r="R34" s="195"/>
      <c r="S34" s="195"/>
    </row>
    <row r="35" spans="1:19" ht="78.75" x14ac:dyDescent="0.35">
      <c r="A35" s="229" t="s">
        <v>304</v>
      </c>
      <c r="B35" s="230" t="s">
        <v>157</v>
      </c>
      <c r="C35" s="236" t="s">
        <v>166</v>
      </c>
      <c r="D35" s="230" t="s">
        <v>162</v>
      </c>
      <c r="E35" s="247" t="s">
        <v>191</v>
      </c>
      <c r="F35" s="240"/>
      <c r="G35" s="238">
        <f>'Налоговая ставка'!B8</f>
        <v>3</v>
      </c>
      <c r="H35" s="238">
        <f>'Налоговая ставка'!D8</f>
        <v>0</v>
      </c>
      <c r="I35" s="238">
        <f>'Налоговая ставка'!G8</f>
        <v>15937</v>
      </c>
      <c r="J35" s="238">
        <f>'Налоговая ставка'!C18</f>
        <v>501</v>
      </c>
      <c r="K35" s="290">
        <f>'Налоговая ставка'!E18</f>
        <v>5</v>
      </c>
      <c r="L35" s="290">
        <f>'Налоговая ставка'!F18</f>
        <v>629</v>
      </c>
      <c r="M35" s="287">
        <f>'Налоговая ставка'!H18+M36</f>
        <v>3497.4969999999998</v>
      </c>
      <c r="N35" s="290">
        <f>'Налоговая ставка'!I18</f>
        <v>747.30923900000005</v>
      </c>
      <c r="O35" s="290">
        <f>'Налоговая ставка'!J18</f>
        <v>810.0832150760001</v>
      </c>
      <c r="P35" s="290">
        <f>'Налоговая ставка'!K18</f>
        <v>874.88987228208009</v>
      </c>
      <c r="Q35" s="190"/>
      <c r="R35" s="195"/>
      <c r="S35" s="195"/>
    </row>
    <row r="36" spans="1:19" ht="78.75" x14ac:dyDescent="0.35">
      <c r="A36" s="229"/>
      <c r="B36" s="230" t="s">
        <v>268</v>
      </c>
      <c r="C36" s="236"/>
      <c r="D36" s="236" t="s">
        <v>220</v>
      </c>
      <c r="E36" s="256"/>
      <c r="F36" s="240"/>
      <c r="G36" s="238"/>
      <c r="H36" s="238"/>
      <c r="I36" s="238">
        <v>15937</v>
      </c>
      <c r="J36" s="238"/>
      <c r="K36" s="290"/>
      <c r="L36" s="290"/>
      <c r="M36" s="290">
        <v>2810</v>
      </c>
      <c r="N36" s="290"/>
      <c r="O36" s="290"/>
      <c r="P36" s="290"/>
      <c r="Q36" s="190"/>
      <c r="R36" s="196"/>
      <c r="S36" s="196"/>
    </row>
    <row r="37" spans="1:19" ht="110.25" x14ac:dyDescent="0.35">
      <c r="A37" s="229" t="s">
        <v>303</v>
      </c>
      <c r="B37" s="230" t="s">
        <v>206</v>
      </c>
      <c r="C37" s="236" t="s">
        <v>210</v>
      </c>
      <c r="D37" s="230" t="s">
        <v>214</v>
      </c>
      <c r="E37" s="247" t="s">
        <v>191</v>
      </c>
      <c r="F37" s="240"/>
      <c r="G37" s="238"/>
      <c r="H37" s="238"/>
      <c r="I37" s="238"/>
      <c r="J37" s="255">
        <f>'Налоговая ставка'!C19</f>
        <v>3930529</v>
      </c>
      <c r="K37" s="287">
        <f>'Налоговая ставка'!E19</f>
        <v>7266599</v>
      </c>
      <c r="L37" s="287">
        <f>'Налоговая ставка'!F19</f>
        <v>4876720</v>
      </c>
      <c r="M37" s="287">
        <f>'Налоговая ставка'!H19+M38</f>
        <v>5689462.7699999996</v>
      </c>
      <c r="N37" s="287">
        <f>'Налоговая ставка'!I19</f>
        <v>5858346.0309899999</v>
      </c>
      <c r="O37" s="287">
        <f>'Налоговая ставка'!J19</f>
        <v>6350447.0975931603</v>
      </c>
      <c r="P37" s="287">
        <f>'Налоговая ставка'!K19</f>
        <v>6858482.8654006133</v>
      </c>
      <c r="Q37" s="199"/>
      <c r="R37" s="195"/>
      <c r="S37" s="195"/>
    </row>
    <row r="38" spans="1:19" ht="23.25" x14ac:dyDescent="0.35">
      <c r="A38" s="229"/>
      <c r="B38" s="239" t="s">
        <v>200</v>
      </c>
      <c r="C38" s="236"/>
      <c r="D38" s="230"/>
      <c r="E38" s="250"/>
      <c r="F38" s="240"/>
      <c r="G38" s="238"/>
      <c r="H38" s="238"/>
      <c r="I38" s="238"/>
      <c r="J38" s="255"/>
      <c r="K38" s="287">
        <v>1090003</v>
      </c>
      <c r="L38" s="287"/>
      <c r="M38" s="287">
        <v>300000</v>
      </c>
      <c r="N38" s="287"/>
      <c r="O38" s="287"/>
      <c r="P38" s="287"/>
      <c r="Q38" s="190"/>
      <c r="R38" s="196"/>
      <c r="S38" s="196"/>
    </row>
    <row r="39" spans="1:19" ht="40.5" x14ac:dyDescent="0.35">
      <c r="A39" s="229"/>
      <c r="B39" s="239" t="s">
        <v>228</v>
      </c>
      <c r="C39" s="236"/>
      <c r="D39" s="230"/>
      <c r="E39" s="250"/>
      <c r="F39" s="240"/>
      <c r="G39" s="238"/>
      <c r="H39" s="238"/>
      <c r="I39" s="238"/>
      <c r="J39" s="255"/>
      <c r="K39" s="287">
        <v>805166</v>
      </c>
      <c r="L39" s="287"/>
      <c r="M39" s="287"/>
      <c r="N39" s="287"/>
      <c r="O39" s="287"/>
      <c r="P39" s="287"/>
      <c r="Q39" s="190"/>
      <c r="R39" s="196"/>
      <c r="S39" s="196"/>
    </row>
    <row r="40" spans="1:19" ht="23.25" x14ac:dyDescent="0.35">
      <c r="A40" s="229"/>
      <c r="B40" s="239" t="s">
        <v>230</v>
      </c>
      <c r="C40" s="236"/>
      <c r="D40" s="230"/>
      <c r="E40" s="259"/>
      <c r="F40" s="240"/>
      <c r="G40" s="238"/>
      <c r="H40" s="238"/>
      <c r="I40" s="238"/>
      <c r="J40" s="255"/>
      <c r="K40" s="287">
        <v>983514</v>
      </c>
      <c r="L40" s="287"/>
      <c r="M40" s="287"/>
      <c r="N40" s="287"/>
      <c r="O40" s="287"/>
      <c r="P40" s="287"/>
      <c r="Q40" s="190"/>
      <c r="R40" s="196"/>
      <c r="S40" s="196"/>
    </row>
    <row r="41" spans="1:19" ht="40.5" x14ac:dyDescent="0.35">
      <c r="A41" s="229"/>
      <c r="B41" s="254" t="s">
        <v>269</v>
      </c>
      <c r="C41" s="236"/>
      <c r="D41" s="230"/>
      <c r="E41" s="259" t="s">
        <v>232</v>
      </c>
      <c r="F41" s="240"/>
      <c r="G41" s="238"/>
      <c r="H41" s="238"/>
      <c r="I41" s="238"/>
      <c r="J41" s="255"/>
      <c r="K41" s="287"/>
      <c r="L41" s="287">
        <f>-54170</f>
        <v>-54170</v>
      </c>
      <c r="M41" s="287"/>
      <c r="N41" s="287"/>
      <c r="O41" s="287"/>
      <c r="P41" s="287"/>
      <c r="Q41" s="190"/>
      <c r="R41" s="196"/>
      <c r="S41" s="196"/>
    </row>
    <row r="42" spans="1:19" ht="126" x14ac:dyDescent="0.35">
      <c r="A42" s="229" t="s">
        <v>305</v>
      </c>
      <c r="B42" s="230" t="s">
        <v>207</v>
      </c>
      <c r="C42" s="236" t="s">
        <v>211</v>
      </c>
      <c r="D42" s="230" t="s">
        <v>215</v>
      </c>
      <c r="E42" s="247" t="s">
        <v>191</v>
      </c>
      <c r="F42" s="240"/>
      <c r="G42" s="238"/>
      <c r="H42" s="238"/>
      <c r="I42" s="238"/>
      <c r="J42" s="255">
        <f>'Налоговая ставка'!C20</f>
        <v>5000</v>
      </c>
      <c r="K42" s="287">
        <f>'Налоговая ставка'!E20</f>
        <v>651</v>
      </c>
      <c r="L42" s="287">
        <f>'Налоговая ставка'!F20</f>
        <v>648</v>
      </c>
      <c r="M42" s="287">
        <f>'Налоговая ставка'!H20</f>
        <v>710.26400000000001</v>
      </c>
      <c r="N42" s="287">
        <f>'Налоговая ставка'!I20</f>
        <v>769.88296800000001</v>
      </c>
      <c r="O42" s="287">
        <f>'Налоговая ставка'!J20</f>
        <v>834.55313731199999</v>
      </c>
      <c r="P42" s="287">
        <f>'Налоговая ставка'!K20</f>
        <v>901.31738829696008</v>
      </c>
      <c r="Q42" s="190"/>
      <c r="R42" s="195"/>
      <c r="S42" s="195"/>
    </row>
    <row r="43" spans="1:19" ht="126" x14ac:dyDescent="0.35">
      <c r="A43" s="229" t="s">
        <v>301</v>
      </c>
      <c r="B43" s="230" t="s">
        <v>208</v>
      </c>
      <c r="C43" s="236" t="s">
        <v>212</v>
      </c>
      <c r="D43" s="230" t="s">
        <v>216</v>
      </c>
      <c r="E43" s="247" t="s">
        <v>191</v>
      </c>
      <c r="F43" s="240"/>
      <c r="G43" s="238"/>
      <c r="H43" s="238"/>
      <c r="I43" s="238"/>
      <c r="J43" s="238">
        <f>'Налоговая ставка'!C21</f>
        <v>264</v>
      </c>
      <c r="K43" s="290">
        <f>'Налоговая ставка'!E21</f>
        <v>-121</v>
      </c>
      <c r="L43" s="290">
        <f>'Налоговая ставка'!F21</f>
        <v>1237</v>
      </c>
      <c r="M43" s="287">
        <f>'Налоговая ставка'!H21+M44</f>
        <v>16195.040999999999</v>
      </c>
      <c r="N43" s="290">
        <f>'Налоговая ставка'!I21</f>
        <v>1469.6685669999999</v>
      </c>
      <c r="O43" s="290">
        <f>'Налоговая ставка'!J21</f>
        <v>1593.1207266280001</v>
      </c>
      <c r="P43" s="290">
        <f>'Налоговая ставка'!K21</f>
        <v>1720.5703847582402</v>
      </c>
      <c r="Q43" s="190"/>
      <c r="R43" s="196"/>
      <c r="S43" s="196"/>
    </row>
    <row r="44" spans="1:19" ht="23.25" x14ac:dyDescent="0.35">
      <c r="A44" s="229"/>
      <c r="B44" s="230"/>
      <c r="C44" s="236" t="s">
        <v>242</v>
      </c>
      <c r="D44" s="230"/>
      <c r="E44" s="256"/>
      <c r="F44" s="240"/>
      <c r="G44" s="238"/>
      <c r="H44" s="238"/>
      <c r="I44" s="238"/>
      <c r="J44" s="238"/>
      <c r="K44" s="290"/>
      <c r="L44" s="290"/>
      <c r="M44" s="290">
        <v>14843</v>
      </c>
      <c r="N44" s="290"/>
      <c r="O44" s="290"/>
      <c r="P44" s="290"/>
      <c r="Q44" s="190"/>
      <c r="R44" s="196"/>
      <c r="S44" s="196"/>
    </row>
    <row r="45" spans="1:19" ht="23.25" x14ac:dyDescent="0.35">
      <c r="A45" s="229"/>
      <c r="B45" s="230"/>
      <c r="C45" s="236"/>
      <c r="D45" s="230"/>
      <c r="E45" s="247"/>
      <c r="F45" s="240"/>
      <c r="G45" s="238"/>
      <c r="H45" s="238"/>
      <c r="I45" s="238"/>
      <c r="J45" s="238"/>
      <c r="K45" s="290"/>
      <c r="L45" s="290"/>
      <c r="M45" s="290"/>
      <c r="N45" s="290"/>
      <c r="O45" s="290"/>
      <c r="P45" s="290"/>
      <c r="Q45" s="190"/>
      <c r="R45" s="196"/>
      <c r="S45" s="196"/>
    </row>
    <row r="46" spans="1:19" ht="126" x14ac:dyDescent="0.35">
      <c r="A46" s="229" t="s">
        <v>306</v>
      </c>
      <c r="B46" s="230" t="s">
        <v>209</v>
      </c>
      <c r="C46" s="236" t="s">
        <v>213</v>
      </c>
      <c r="D46" s="230" t="s">
        <v>217</v>
      </c>
      <c r="E46" s="247" t="s">
        <v>191</v>
      </c>
      <c r="F46" s="240"/>
      <c r="G46" s="238"/>
      <c r="H46" s="238"/>
      <c r="I46" s="238"/>
      <c r="J46" s="238">
        <f>'Налоговая ставка'!C22</f>
        <v>0</v>
      </c>
      <c r="K46" s="290">
        <f>'Налоговая ставка'!E22</f>
        <v>3</v>
      </c>
      <c r="L46" s="290">
        <f>'Налоговая ставка'!F22</f>
        <v>3785</v>
      </c>
      <c r="M46" s="287">
        <f>'Налоговая ставка'!H22+M47</f>
        <v>3785.0049999999992</v>
      </c>
      <c r="N46" s="290">
        <f>'Налоговая ставка'!I22</f>
        <v>4496.9244349999999</v>
      </c>
      <c r="O46" s="290">
        <f>'Налоговая ставка'!J22</f>
        <v>4874.6660875400003</v>
      </c>
      <c r="P46" s="290">
        <f>'Налоговая ставка'!K22</f>
        <v>5264.6393745432006</v>
      </c>
      <c r="Q46" s="190"/>
      <c r="R46"/>
    </row>
    <row r="47" spans="1:19" ht="34.5" x14ac:dyDescent="0.35">
      <c r="A47" s="229"/>
      <c r="B47" s="230"/>
      <c r="C47" s="236"/>
      <c r="D47" s="230"/>
      <c r="E47" s="256" t="s">
        <v>286</v>
      </c>
      <c r="F47" s="240"/>
      <c r="G47" s="238"/>
      <c r="H47" s="238"/>
      <c r="I47" s="238"/>
      <c r="J47" s="238"/>
      <c r="K47" s="290"/>
      <c r="L47" s="290"/>
      <c r="M47" s="287">
        <v>-352</v>
      </c>
      <c r="N47" s="290"/>
      <c r="O47" s="290"/>
      <c r="P47" s="290"/>
      <c r="Q47" s="190"/>
      <c r="R47"/>
    </row>
    <row r="48" spans="1:19" ht="23.25" x14ac:dyDescent="0.35">
      <c r="A48" s="229" t="s">
        <v>307</v>
      </c>
      <c r="B48" s="230" t="s">
        <v>235</v>
      </c>
      <c r="C48" s="236"/>
      <c r="D48" s="230" t="s">
        <v>233</v>
      </c>
      <c r="E48" s="247"/>
      <c r="F48" s="240"/>
      <c r="G48" s="238"/>
      <c r="H48" s="238"/>
      <c r="I48" s="238"/>
      <c r="J48" s="238"/>
      <c r="K48" s="290">
        <f>K50*K53/100</f>
        <v>1089659</v>
      </c>
      <c r="L48" s="290">
        <f>(L50*L53/100)*L54%+L56</f>
        <v>1242983.4931978607</v>
      </c>
      <c r="M48" s="290">
        <f>(M50*M53/100)*M54%+M56+M55</f>
        <v>1499423.5336945022</v>
      </c>
      <c r="N48" s="290">
        <f t="shared" ref="N48:O48" si="10">(N50*N53/100)*N54%+N56+N55</f>
        <v>1520232.604586812</v>
      </c>
      <c r="O48" s="290">
        <f t="shared" si="10"/>
        <v>1615617.9564895409</v>
      </c>
      <c r="P48" s="290">
        <f>(P50*P53/100)*P54%+P56+P55</f>
        <v>1715758.1236613614</v>
      </c>
      <c r="Q48" s="190"/>
      <c r="R48"/>
    </row>
    <row r="49" spans="1:18" ht="23.25" x14ac:dyDescent="0.35">
      <c r="A49" s="229"/>
      <c r="B49" s="230" t="s">
        <v>190</v>
      </c>
      <c r="C49" s="236"/>
      <c r="D49" s="230"/>
      <c r="E49" s="247"/>
      <c r="F49" s="240"/>
      <c r="G49" s="238"/>
      <c r="H49" s="238"/>
      <c r="I49" s="238"/>
      <c r="J49" s="238"/>
      <c r="K49" s="290"/>
      <c r="L49" s="290">
        <v>1270645</v>
      </c>
      <c r="M49" s="290"/>
      <c r="N49" s="290"/>
      <c r="O49" s="291"/>
      <c r="P49" s="290"/>
      <c r="Q49" s="190"/>
      <c r="R49"/>
    </row>
    <row r="50" spans="1:18" ht="23.25" x14ac:dyDescent="0.35">
      <c r="A50" s="229"/>
      <c r="B50" s="230"/>
      <c r="C50" s="236" t="s">
        <v>237</v>
      </c>
      <c r="D50" s="230"/>
      <c r="E50" s="247" t="s">
        <v>238</v>
      </c>
      <c r="F50" s="240"/>
      <c r="G50" s="238"/>
      <c r="H50" s="238"/>
      <c r="I50" s="238"/>
      <c r="J50" s="238"/>
      <c r="K50" s="290">
        <v>8658962</v>
      </c>
      <c r="L50" s="290">
        <v>9795155</v>
      </c>
      <c r="M50" s="290">
        <f>L50*M52/100</f>
        <v>10519996.470000001</v>
      </c>
      <c r="N50" s="290">
        <f>M50*N52/100</f>
        <v>11266916.21937</v>
      </c>
      <c r="O50" s="290">
        <f>N50*O52/100</f>
        <v>12010532.689848417</v>
      </c>
      <c r="P50" s="290">
        <f>O50*P52/100</f>
        <v>12791217.314688565</v>
      </c>
      <c r="Q50" s="190"/>
      <c r="R50"/>
    </row>
    <row r="51" spans="1:18" ht="31.5" x14ac:dyDescent="0.35">
      <c r="A51" s="229"/>
      <c r="B51" s="230"/>
      <c r="C51" s="236" t="s">
        <v>243</v>
      </c>
      <c r="D51" s="230"/>
      <c r="E51" s="247" t="s">
        <v>244</v>
      </c>
      <c r="F51" s="240"/>
      <c r="G51" s="238"/>
      <c r="H51" s="238"/>
      <c r="I51" s="238"/>
      <c r="J51" s="238"/>
      <c r="K51" s="290">
        <v>1089659</v>
      </c>
      <c r="L51" s="290">
        <v>1246569</v>
      </c>
      <c r="M51" s="290">
        <f t="shared" ref="M51:P51" si="11">L51*M52/100</f>
        <v>1338815.1060000001</v>
      </c>
      <c r="N51" s="290">
        <f t="shared" si="11"/>
        <v>1433870.9785260002</v>
      </c>
      <c r="O51" s="290">
        <f t="shared" si="11"/>
        <v>1528506.4631087161</v>
      </c>
      <c r="P51" s="290">
        <f t="shared" si="11"/>
        <v>1627859.3832107827</v>
      </c>
      <c r="Q51" s="190"/>
      <c r="R51"/>
    </row>
    <row r="52" spans="1:18" ht="86.25" x14ac:dyDescent="0.35">
      <c r="A52" s="229"/>
      <c r="B52" s="230"/>
      <c r="C52" s="236" t="s">
        <v>239</v>
      </c>
      <c r="D52" s="230"/>
      <c r="E52" s="256" t="s">
        <v>291</v>
      </c>
      <c r="F52" s="240"/>
      <c r="G52" s="238"/>
      <c r="H52" s="238"/>
      <c r="I52" s="238"/>
      <c r="J52" s="238"/>
      <c r="K52" s="289">
        <v>92.8</v>
      </c>
      <c r="L52" s="289">
        <v>130.6</v>
      </c>
      <c r="M52" s="289">
        <v>107.4</v>
      </c>
      <c r="N52" s="289">
        <v>107.1</v>
      </c>
      <c r="O52" s="289">
        <v>106.6</v>
      </c>
      <c r="P52" s="289">
        <v>106.5</v>
      </c>
      <c r="Q52" s="190"/>
      <c r="R52"/>
    </row>
    <row r="53" spans="1:18" ht="23.25" x14ac:dyDescent="0.35">
      <c r="A53" s="229"/>
      <c r="B53" s="230"/>
      <c r="C53" s="236" t="s">
        <v>240</v>
      </c>
      <c r="D53" s="230"/>
      <c r="E53" s="247"/>
      <c r="F53" s="240"/>
      <c r="G53" s="238"/>
      <c r="H53" s="238"/>
      <c r="I53" s="238"/>
      <c r="J53" s="238"/>
      <c r="K53" s="291">
        <f>K51/K50*100</f>
        <v>12.584175793819167</v>
      </c>
      <c r="L53" s="291">
        <f>K53</f>
        <v>12.584175793819167</v>
      </c>
      <c r="M53" s="291">
        <f t="shared" ref="M53:P53" si="12">L53</f>
        <v>12.584175793819167</v>
      </c>
      <c r="N53" s="291">
        <f t="shared" si="12"/>
        <v>12.584175793819167</v>
      </c>
      <c r="O53" s="291">
        <f t="shared" si="12"/>
        <v>12.584175793819167</v>
      </c>
      <c r="P53" s="291">
        <f t="shared" si="12"/>
        <v>12.584175793819167</v>
      </c>
      <c r="Q53" s="190"/>
      <c r="R53"/>
    </row>
    <row r="54" spans="1:18" ht="51.75" x14ac:dyDescent="0.35">
      <c r="A54" s="229"/>
      <c r="B54" s="230"/>
      <c r="C54" s="236" t="s">
        <v>246</v>
      </c>
      <c r="D54" s="230"/>
      <c r="E54" s="256" t="s">
        <v>174</v>
      </c>
      <c r="F54" s="240"/>
      <c r="G54" s="238"/>
      <c r="H54" s="238"/>
      <c r="I54" s="238"/>
      <c r="J54" s="260"/>
      <c r="K54" s="291"/>
      <c r="L54" s="291">
        <f>L49/L51*100</f>
        <v>101.93138125526946</v>
      </c>
      <c r="M54" s="291">
        <f>L54</f>
        <v>101.93138125526946</v>
      </c>
      <c r="N54" s="291">
        <f>L54</f>
        <v>101.93138125526946</v>
      </c>
      <c r="O54" s="291">
        <f>L54</f>
        <v>101.93138125526946</v>
      </c>
      <c r="P54" s="291">
        <f>L54</f>
        <v>101.93138125526946</v>
      </c>
      <c r="Q54" s="190"/>
      <c r="R54"/>
    </row>
    <row r="55" spans="1:18" ht="23.25" x14ac:dyDescent="0.35">
      <c r="A55" s="229"/>
      <c r="B55" s="230"/>
      <c r="C55" s="236" t="s">
        <v>241</v>
      </c>
      <c r="D55" s="230"/>
      <c r="E55" s="256"/>
      <c r="F55" s="240"/>
      <c r="G55" s="238"/>
      <c r="H55" s="238"/>
      <c r="I55" s="238"/>
      <c r="J55" s="260"/>
      <c r="K55" s="291"/>
      <c r="L55" s="291"/>
      <c r="M55" s="289">
        <v>150000</v>
      </c>
      <c r="N55" s="289">
        <f>M55/2</f>
        <v>75000</v>
      </c>
      <c r="O55" s="289">
        <f>N55</f>
        <v>75000</v>
      </c>
      <c r="P55" s="289">
        <f>O55</f>
        <v>75000</v>
      </c>
      <c r="Q55" s="190"/>
      <c r="R55"/>
    </row>
    <row r="56" spans="1:18" ht="46.5" x14ac:dyDescent="0.35">
      <c r="A56" s="229"/>
      <c r="B56" s="237" t="s">
        <v>269</v>
      </c>
      <c r="C56" s="236"/>
      <c r="D56" s="230"/>
      <c r="E56" s="247"/>
      <c r="F56" s="240"/>
      <c r="G56" s="238"/>
      <c r="H56" s="238"/>
      <c r="I56" s="238"/>
      <c r="J56" s="238"/>
      <c r="K56" s="290"/>
      <c r="L56" s="290">
        <f>-13463</f>
        <v>-13463</v>
      </c>
      <c r="M56" s="287"/>
      <c r="N56" s="290"/>
      <c r="O56" s="290"/>
      <c r="P56" s="290"/>
      <c r="Q56" s="190"/>
      <c r="R56"/>
    </row>
    <row r="57" spans="1:18" ht="23.25" x14ac:dyDescent="0.35">
      <c r="A57" s="229" t="s">
        <v>308</v>
      </c>
      <c r="B57" s="230" t="s">
        <v>236</v>
      </c>
      <c r="C57" s="236"/>
      <c r="D57" s="230" t="s">
        <v>234</v>
      </c>
      <c r="E57" s="247"/>
      <c r="F57" s="240"/>
      <c r="G57" s="238"/>
      <c r="H57" s="238"/>
      <c r="I57" s="238"/>
      <c r="J57" s="238"/>
      <c r="K57" s="290">
        <f>(K59*K62/100)*87%</f>
        <v>2732388.9899999998</v>
      </c>
      <c r="L57" s="290">
        <f>(L59*L62/100)*87%*L64%+L65</f>
        <v>3229887</v>
      </c>
      <c r="M57" s="287">
        <f>(M59*M62/100)*87%*M64%+M63+M65</f>
        <v>4371886.5060000001</v>
      </c>
      <c r="N57" s="290">
        <f t="shared" ref="N57:P57" si="13">(N59*N62/100)*87%*N64%+N63+N65</f>
        <v>4168390.4479260002</v>
      </c>
      <c r="O57" s="290">
        <f t="shared" si="13"/>
        <v>4413804.217489114</v>
      </c>
      <c r="P57" s="290">
        <f t="shared" si="13"/>
        <v>4671451.491625906</v>
      </c>
      <c r="Q57" s="190"/>
      <c r="R57"/>
    </row>
    <row r="58" spans="1:18" ht="23.25" x14ac:dyDescent="0.35">
      <c r="A58" s="229"/>
      <c r="B58" s="230" t="s">
        <v>190</v>
      </c>
      <c r="C58" s="236"/>
      <c r="D58" s="230"/>
      <c r="E58" s="247"/>
      <c r="F58" s="240"/>
      <c r="G58" s="238"/>
      <c r="H58" s="238"/>
      <c r="I58" s="238"/>
      <c r="J58" s="238"/>
      <c r="K58" s="290"/>
      <c r="L58" s="290">
        <v>3232669</v>
      </c>
      <c r="M58" s="290"/>
      <c r="N58" s="290"/>
      <c r="O58" s="290"/>
      <c r="P58" s="290"/>
      <c r="Q58" s="190"/>
      <c r="R58"/>
    </row>
    <row r="59" spans="1:18" ht="23.25" x14ac:dyDescent="0.35">
      <c r="A59" s="229"/>
      <c r="B59" s="230"/>
      <c r="C59" s="236" t="s">
        <v>237</v>
      </c>
      <c r="D59" s="230"/>
      <c r="E59" s="247" t="s">
        <v>238</v>
      </c>
      <c r="F59" s="240"/>
      <c r="G59" s="238"/>
      <c r="H59" s="238"/>
      <c r="I59" s="238"/>
      <c r="J59" s="238"/>
      <c r="K59" s="290">
        <v>22464662</v>
      </c>
      <c r="L59" s="290">
        <v>27014592</v>
      </c>
      <c r="M59" s="290">
        <f>L59*M61/100</f>
        <v>29013671.808000002</v>
      </c>
      <c r="N59" s="290">
        <f>M59*N61/100</f>
        <v>31073642.506368004</v>
      </c>
      <c r="O59" s="290">
        <f>N59*O61/100</f>
        <v>33124502.911788292</v>
      </c>
      <c r="P59" s="290">
        <f>O59*P61/100</f>
        <v>35277595.601054527</v>
      </c>
      <c r="Q59" s="190"/>
      <c r="R59"/>
    </row>
    <row r="60" spans="1:18" ht="31.5" x14ac:dyDescent="0.35">
      <c r="A60" s="229"/>
      <c r="B60" s="230"/>
      <c r="C60" s="236" t="s">
        <v>243</v>
      </c>
      <c r="D60" s="230"/>
      <c r="E60" s="261" t="s">
        <v>244</v>
      </c>
      <c r="F60" s="233"/>
      <c r="G60" s="255"/>
      <c r="H60" s="255"/>
      <c r="I60" s="255"/>
      <c r="J60" s="255"/>
      <c r="K60" s="287">
        <v>3140677</v>
      </c>
      <c r="L60" s="287">
        <v>4029119</v>
      </c>
      <c r="M60" s="287">
        <f t="shared" ref="M60:P60" si="14">L60*M61/100</f>
        <v>4327273.8059999999</v>
      </c>
      <c r="N60" s="287">
        <f t="shared" si="14"/>
        <v>4634510.2462259997</v>
      </c>
      <c r="O60" s="287">
        <f t="shared" si="14"/>
        <v>4940387.9224769147</v>
      </c>
      <c r="P60" s="287">
        <f t="shared" si="14"/>
        <v>5261513.1374379136</v>
      </c>
      <c r="Q60" s="190"/>
      <c r="R60"/>
    </row>
    <row r="61" spans="1:18" ht="86.25" x14ac:dyDescent="0.35">
      <c r="A61" s="229"/>
      <c r="B61" s="230"/>
      <c r="C61" s="236" t="s">
        <v>239</v>
      </c>
      <c r="D61" s="230"/>
      <c r="E61" s="250" t="s">
        <v>291</v>
      </c>
      <c r="F61" s="233"/>
      <c r="G61" s="255"/>
      <c r="H61" s="255"/>
      <c r="I61" s="255"/>
      <c r="J61" s="255"/>
      <c r="K61" s="289">
        <v>92.8</v>
      </c>
      <c r="L61" s="289">
        <v>130.6</v>
      </c>
      <c r="M61" s="289">
        <v>107.4</v>
      </c>
      <c r="N61" s="289">
        <v>107.1</v>
      </c>
      <c r="O61" s="289">
        <v>106.6</v>
      </c>
      <c r="P61" s="289">
        <v>106.5</v>
      </c>
      <c r="Q61" s="190"/>
      <c r="R61"/>
    </row>
    <row r="62" spans="1:18" ht="23.25" x14ac:dyDescent="0.35">
      <c r="A62" s="229"/>
      <c r="B62" s="230"/>
      <c r="C62" s="236" t="s">
        <v>240</v>
      </c>
      <c r="D62" s="230"/>
      <c r="E62" s="261"/>
      <c r="F62" s="233"/>
      <c r="G62" s="255"/>
      <c r="H62" s="255"/>
      <c r="I62" s="255"/>
      <c r="J62" s="255"/>
      <c r="K62" s="289">
        <f>K60/K59*100</f>
        <v>13.980521941527543</v>
      </c>
      <c r="L62" s="289">
        <f t="shared" ref="L62:O62" si="15">L60/L59*100</f>
        <v>14.91460244892834</v>
      </c>
      <c r="M62" s="289">
        <f t="shared" si="15"/>
        <v>14.91460244892834</v>
      </c>
      <c r="N62" s="289">
        <f t="shared" si="15"/>
        <v>14.914602448928338</v>
      </c>
      <c r="O62" s="289">
        <f t="shared" si="15"/>
        <v>14.914602448928335</v>
      </c>
      <c r="P62" s="289">
        <f t="shared" ref="P62" si="16">P60/P59*100</f>
        <v>14.914602448928335</v>
      </c>
      <c r="Q62" s="190"/>
      <c r="R62"/>
    </row>
    <row r="63" spans="1:18" ht="23.25" x14ac:dyDescent="0.35">
      <c r="A63" s="229"/>
      <c r="B63" s="230"/>
      <c r="C63" s="236" t="s">
        <v>241</v>
      </c>
      <c r="D63" s="230"/>
      <c r="E63" s="261"/>
      <c r="F63" s="233"/>
      <c r="G63" s="255"/>
      <c r="H63" s="255"/>
      <c r="I63" s="255"/>
      <c r="J63" s="255"/>
      <c r="K63" s="287"/>
      <c r="L63" s="287"/>
      <c r="M63" s="287">
        <v>900000</v>
      </c>
      <c r="N63" s="287">
        <f>M63/2</f>
        <v>450000</v>
      </c>
      <c r="O63" s="287">
        <f>N63</f>
        <v>450000</v>
      </c>
      <c r="P63" s="287">
        <f>O63</f>
        <v>450000</v>
      </c>
      <c r="Q63" s="190"/>
      <c r="R63"/>
    </row>
    <row r="64" spans="1:18" ht="51.75" x14ac:dyDescent="0.35">
      <c r="A64" s="229"/>
      <c r="B64" s="230"/>
      <c r="C64" s="236" t="s">
        <v>246</v>
      </c>
      <c r="D64" s="230"/>
      <c r="E64" s="256" t="s">
        <v>174</v>
      </c>
      <c r="F64" s="240"/>
      <c r="G64" s="238"/>
      <c r="H64" s="238"/>
      <c r="I64" s="238"/>
      <c r="J64" s="238"/>
      <c r="K64" s="290"/>
      <c r="L64" s="291">
        <f>(L58*100/87)/L60*100</f>
        <v>92.221438340562131</v>
      </c>
      <c r="M64" s="291">
        <f>L64</f>
        <v>92.221438340562131</v>
      </c>
      <c r="N64" s="291">
        <f>L64</f>
        <v>92.221438340562131</v>
      </c>
      <c r="O64" s="291">
        <f>L64</f>
        <v>92.221438340562131</v>
      </c>
      <c r="P64" s="291">
        <f>L64</f>
        <v>92.221438340562131</v>
      </c>
      <c r="Q64" s="190"/>
      <c r="R64"/>
    </row>
    <row r="65" spans="1:18" ht="46.5" x14ac:dyDescent="0.35">
      <c r="A65" s="229"/>
      <c r="B65" s="237" t="s">
        <v>269</v>
      </c>
      <c r="C65" s="236"/>
      <c r="D65" s="230"/>
      <c r="E65" s="247"/>
      <c r="F65" s="240"/>
      <c r="G65" s="238"/>
      <c r="H65" s="238"/>
      <c r="I65" s="238"/>
      <c r="J65" s="238"/>
      <c r="K65" s="290"/>
      <c r="L65" s="290">
        <f>-2782</f>
        <v>-2782</v>
      </c>
      <c r="M65" s="290"/>
      <c r="N65" s="290"/>
      <c r="O65" s="290"/>
      <c r="P65" s="290"/>
      <c r="Q65" s="190"/>
      <c r="R65"/>
    </row>
    <row r="66" spans="1:18" ht="46.5" x14ac:dyDescent="0.35">
      <c r="A66" s="229" t="s">
        <v>309</v>
      </c>
      <c r="B66" s="230" t="s">
        <v>199</v>
      </c>
      <c r="C66" s="230"/>
      <c r="D66" s="230"/>
      <c r="E66" s="262"/>
      <c r="F66" s="240"/>
      <c r="G66" s="240">
        <v>78</v>
      </c>
      <c r="H66" s="240">
        <v>78</v>
      </c>
      <c r="I66" s="240">
        <f>I67/I10*100</f>
        <v>78.160208987599972</v>
      </c>
      <c r="J66" s="240">
        <f>J67/J10*100</f>
        <v>78.118814280323562</v>
      </c>
      <c r="K66" s="291">
        <f>K67/K10*100</f>
        <v>78.309068567039148</v>
      </c>
      <c r="L66" s="291">
        <f>L67/L10*100</f>
        <v>78.356522483611371</v>
      </c>
      <c r="M66" s="291">
        <f>M67/M7*100</f>
        <v>78.41371667325771</v>
      </c>
      <c r="N66" s="291">
        <f>N67/N7*100</f>
        <v>78.415583711041052</v>
      </c>
      <c r="O66" s="291">
        <f>O67/O7*100</f>
        <v>78.409865084640046</v>
      </c>
      <c r="P66" s="291">
        <f>P67/P7*100</f>
        <v>78.404774873695359</v>
      </c>
      <c r="Q66" s="190"/>
      <c r="R66"/>
    </row>
    <row r="67" spans="1:18" ht="46.5" x14ac:dyDescent="0.35">
      <c r="A67" s="229" t="s">
        <v>310</v>
      </c>
      <c r="B67" s="230" t="s">
        <v>198</v>
      </c>
      <c r="C67" s="230"/>
      <c r="D67" s="230"/>
      <c r="E67" s="262"/>
      <c r="F67" s="240"/>
      <c r="G67" s="228">
        <v>22938359</v>
      </c>
      <c r="H67" s="228">
        <f>H10*H66/100</f>
        <v>24327201.600000001</v>
      </c>
      <c r="I67" s="228">
        <v>26265782</v>
      </c>
      <c r="J67" s="228">
        <v>31626309</v>
      </c>
      <c r="K67" s="290">
        <v>37534174</v>
      </c>
      <c r="L67" s="290">
        <v>43372099</v>
      </c>
      <c r="M67" s="290">
        <f>M7-M68</f>
        <v>52372895.404365592</v>
      </c>
      <c r="N67" s="290">
        <f>N7-N68</f>
        <v>55589490.630660251</v>
      </c>
      <c r="O67" s="290">
        <f>O7-O68</f>
        <v>60120844.311696418</v>
      </c>
      <c r="P67" s="290">
        <f>P7-P68</f>
        <v>64803573.281841859</v>
      </c>
      <c r="Q67" s="190"/>
      <c r="R67"/>
    </row>
    <row r="68" spans="1:18" ht="46.5" x14ac:dyDescent="0.35">
      <c r="A68" s="229" t="s">
        <v>311</v>
      </c>
      <c r="B68" s="230" t="s">
        <v>205</v>
      </c>
      <c r="C68" s="230"/>
      <c r="D68" s="230"/>
      <c r="E68" s="262"/>
      <c r="F68" s="240"/>
      <c r="G68" s="228">
        <f>G10-G67</f>
        <v>6405831</v>
      </c>
      <c r="H68" s="228">
        <f>H10-H67</f>
        <v>6861518.3999999985</v>
      </c>
      <c r="I68" s="231">
        <f>I10-I67</f>
        <v>7339274</v>
      </c>
      <c r="J68" s="228">
        <f>J10-J67</f>
        <v>8858572</v>
      </c>
      <c r="K68" s="290">
        <f>K10-K67</f>
        <v>10396640</v>
      </c>
      <c r="L68" s="290">
        <v>11980152</v>
      </c>
      <c r="M68" s="290">
        <f>M69</f>
        <v>14417581.601842813</v>
      </c>
      <c r="N68" s="290">
        <f t="shared" ref="N68:P68" si="17">N69</f>
        <v>15301380.800592199</v>
      </c>
      <c r="O68" s="290">
        <f t="shared" si="17"/>
        <v>16554258.045383997</v>
      </c>
      <c r="P68" s="290">
        <f t="shared" si="17"/>
        <v>17849011.826955292</v>
      </c>
      <c r="Q68" s="190"/>
      <c r="R68"/>
    </row>
    <row r="69" spans="1:18" ht="46.5" x14ac:dyDescent="0.35">
      <c r="A69" s="263" t="s">
        <v>313</v>
      </c>
      <c r="B69" s="230" t="s">
        <v>312</v>
      </c>
      <c r="C69" s="265"/>
      <c r="D69" s="258" t="s">
        <v>158</v>
      </c>
      <c r="E69" s="266" t="s">
        <v>245</v>
      </c>
      <c r="F69" s="267"/>
      <c r="G69" s="231">
        <f>G68</f>
        <v>6405831</v>
      </c>
      <c r="H69" s="231">
        <f t="shared" ref="H69:K69" si="18">H68</f>
        <v>6861518.3999999985</v>
      </c>
      <c r="I69" s="231">
        <f t="shared" si="18"/>
        <v>7339274</v>
      </c>
      <c r="J69" s="231">
        <f t="shared" si="18"/>
        <v>8858572</v>
      </c>
      <c r="K69" s="287">
        <f t="shared" si="18"/>
        <v>10396640</v>
      </c>
      <c r="L69" s="287">
        <f>SUM(L70:L80)</f>
        <v>11980152</v>
      </c>
      <c r="M69" s="287">
        <f t="shared" ref="M69:P69" si="19">SUM(M70:M80)</f>
        <v>14417581.601842813</v>
      </c>
      <c r="N69" s="287">
        <f t="shared" si="19"/>
        <v>15301380.800592199</v>
      </c>
      <c r="O69" s="287">
        <f t="shared" si="19"/>
        <v>16554258.045383997</v>
      </c>
      <c r="P69" s="287">
        <f t="shared" si="19"/>
        <v>17849011.826955292</v>
      </c>
    </row>
    <row r="70" spans="1:18" ht="35.1" customHeight="1" x14ac:dyDescent="0.5">
      <c r="A70" s="263"/>
      <c r="B70" s="264"/>
      <c r="C70" s="265"/>
      <c r="D70" s="237">
        <v>1.821010201E+17</v>
      </c>
      <c r="E70" s="228">
        <f>L70/L14*100</f>
        <v>21.999999077200698</v>
      </c>
      <c r="F70" s="268"/>
      <c r="G70" s="268"/>
      <c r="H70" s="268"/>
      <c r="I70" s="268"/>
      <c r="J70" s="268"/>
      <c r="K70" s="295"/>
      <c r="L70" s="290">
        <v>9536201</v>
      </c>
      <c r="M70" s="290">
        <f>M11*E70/100</f>
        <v>11277036.680232968</v>
      </c>
      <c r="N70" s="290">
        <f>N11*E70/100</f>
        <v>12258138.87141324</v>
      </c>
      <c r="O70" s="290">
        <f>O11*E70/100</f>
        <v>13287822.53661195</v>
      </c>
      <c r="P70" s="290">
        <f>P11*E70/100</f>
        <v>14350848.339540906</v>
      </c>
    </row>
    <row r="71" spans="1:18" ht="35.1" customHeight="1" x14ac:dyDescent="0.5">
      <c r="A71" s="263"/>
      <c r="B71" s="264"/>
      <c r="C71" s="265"/>
      <c r="D71" s="230" t="s">
        <v>159</v>
      </c>
      <c r="E71" s="228">
        <f>L71/L24*100</f>
        <v>22.000020372511369</v>
      </c>
      <c r="F71" s="268"/>
      <c r="G71" s="268"/>
      <c r="H71" s="268"/>
      <c r="I71" s="268"/>
      <c r="J71" s="268"/>
      <c r="K71" s="296"/>
      <c r="L71" s="290">
        <v>86391</v>
      </c>
      <c r="M71" s="290">
        <f>M24*E71/100</f>
        <v>115848.68561847635</v>
      </c>
      <c r="N71" s="290">
        <f>N24*E71/100</f>
        <v>125927.52126728377</v>
      </c>
      <c r="O71" s="290">
        <f>O24*E71/100</f>
        <v>136505.43305373561</v>
      </c>
      <c r="P71" s="290">
        <f>P24*E71/100</f>
        <v>147425.86769803448</v>
      </c>
    </row>
    <row r="72" spans="1:18" ht="35.1" customHeight="1" x14ac:dyDescent="0.5">
      <c r="A72" s="263"/>
      <c r="B72" s="264"/>
      <c r="C72" s="265"/>
      <c r="D72" s="230" t="s">
        <v>160</v>
      </c>
      <c r="E72" s="228">
        <f>L72/L28*100</f>
        <v>22.000031835812106</v>
      </c>
      <c r="F72" s="268"/>
      <c r="G72" s="268"/>
      <c r="H72" s="268"/>
      <c r="I72" s="268"/>
      <c r="J72" s="268"/>
      <c r="K72" s="296"/>
      <c r="L72" s="290">
        <v>207314</v>
      </c>
      <c r="M72" s="290">
        <f>M28*E72/100</f>
        <v>355563.00862821599</v>
      </c>
      <c r="N72" s="290">
        <f>N28*E72/100</f>
        <v>246307.89757400003</v>
      </c>
      <c r="O72" s="290">
        <f>O28*E72/100</f>
        <v>266997.76097021601</v>
      </c>
      <c r="P72" s="290">
        <f>P28*E72/100</f>
        <v>288357.58184783329</v>
      </c>
    </row>
    <row r="73" spans="1:18" ht="34.5" customHeight="1" x14ac:dyDescent="0.5">
      <c r="A73" s="263"/>
      <c r="B73" s="264"/>
      <c r="C73" s="265"/>
      <c r="D73" s="230" t="s">
        <v>161</v>
      </c>
      <c r="E73" s="228">
        <f>L73/L32*100</f>
        <v>6.9999976645136073</v>
      </c>
      <c r="F73" s="268"/>
      <c r="G73" s="268"/>
      <c r="H73" s="268"/>
      <c r="I73" s="268"/>
      <c r="J73" s="268"/>
      <c r="K73" s="296"/>
      <c r="L73" s="290">
        <v>89917</v>
      </c>
      <c r="M73" s="290">
        <f>M32*E73/100</f>
        <v>126243.48787999335</v>
      </c>
      <c r="N73" s="290">
        <f>N32*E73/100</f>
        <v>134793.78532699335</v>
      </c>
      <c r="O73" s="290">
        <f>O32*E73/100</f>
        <v>143767.46991654136</v>
      </c>
      <c r="P73" s="290">
        <f>P32*E73/100</f>
        <v>153031.73095946523</v>
      </c>
      <c r="Q73" s="195"/>
    </row>
    <row r="74" spans="1:18" ht="35.1" customHeight="1" x14ac:dyDescent="0.5">
      <c r="A74" s="263"/>
      <c r="B74" s="264"/>
      <c r="C74" s="265"/>
      <c r="D74" s="230" t="s">
        <v>162</v>
      </c>
      <c r="E74" s="228">
        <f>L74/L35*100</f>
        <v>21.939586645468996</v>
      </c>
      <c r="F74" s="268"/>
      <c r="G74" s="268"/>
      <c r="H74" s="268"/>
      <c r="I74" s="268"/>
      <c r="J74" s="268"/>
      <c r="K74" s="296"/>
      <c r="L74" s="287">
        <v>138</v>
      </c>
      <c r="M74" s="287">
        <f>M35*E74/100</f>
        <v>767.33638473767871</v>
      </c>
      <c r="N74" s="287">
        <f>N35*E74/100</f>
        <v>163.956558</v>
      </c>
      <c r="O74" s="287">
        <f>O35*E74/100</f>
        <v>177.72890887200001</v>
      </c>
      <c r="P74" s="287">
        <f>P35*E74/100</f>
        <v>191.94722158175998</v>
      </c>
      <c r="Q74" s="195"/>
    </row>
    <row r="75" spans="1:18" ht="35.1" customHeight="1" x14ac:dyDescent="0.5">
      <c r="A75" s="263"/>
      <c r="B75" s="264"/>
      <c r="C75" s="265"/>
      <c r="D75" s="269" t="s">
        <v>214</v>
      </c>
      <c r="E75" s="228">
        <f>L75/L37*100</f>
        <v>21.942535146573928</v>
      </c>
      <c r="F75" s="268"/>
      <c r="G75" s="268"/>
      <c r="H75" s="268"/>
      <c r="I75" s="268"/>
      <c r="J75" s="268"/>
      <c r="K75" s="296"/>
      <c r="L75" s="290">
        <v>1070076</v>
      </c>
      <c r="M75" s="290">
        <f>M37*E75/100</f>
        <v>1248412.3679584884</v>
      </c>
      <c r="N75" s="290">
        <f>N37*E75/100</f>
        <v>1285469.6368578994</v>
      </c>
      <c r="O75" s="290">
        <f>O37*E75/100</f>
        <v>1393449.086353963</v>
      </c>
      <c r="P75" s="290">
        <f>P37*E75/100</f>
        <v>1504925.0132622803</v>
      </c>
      <c r="Q75" s="177"/>
      <c r="R75" s="177"/>
    </row>
    <row r="76" spans="1:18" ht="35.1" customHeight="1" x14ac:dyDescent="0.5">
      <c r="A76" s="263"/>
      <c r="B76" s="264"/>
      <c r="C76" s="265"/>
      <c r="D76" s="269" t="s">
        <v>215</v>
      </c>
      <c r="E76" s="228">
        <f>L76/L42*100</f>
        <v>22.067901234567902</v>
      </c>
      <c r="F76" s="268"/>
      <c r="G76" s="268"/>
      <c r="H76" s="268"/>
      <c r="I76" s="268"/>
      <c r="J76" s="268"/>
      <c r="K76" s="296"/>
      <c r="L76" s="290">
        <v>143</v>
      </c>
      <c r="M76" s="290">
        <f>M42*E76/100</f>
        <v>156.74035802469135</v>
      </c>
      <c r="N76" s="290">
        <f>N42*E76/100</f>
        <v>169.89701300000002</v>
      </c>
      <c r="O76" s="290">
        <f>O42*E76/100</f>
        <v>184.168362092</v>
      </c>
      <c r="P76" s="290">
        <f>P42*E76/100</f>
        <v>198.90183105936001</v>
      </c>
    </row>
    <row r="77" spans="1:18" ht="61.5" customHeight="1" x14ac:dyDescent="0.5">
      <c r="A77" s="263"/>
      <c r="B77" s="264"/>
      <c r="C77" s="265"/>
      <c r="D77" s="269" t="s">
        <v>216</v>
      </c>
      <c r="E77" s="228">
        <f>L77/L43*100</f>
        <v>21.90784155214228</v>
      </c>
      <c r="F77" s="268"/>
      <c r="G77" s="268"/>
      <c r="H77" s="268"/>
      <c r="I77" s="268"/>
      <c r="J77" s="268"/>
      <c r="K77" s="296"/>
      <c r="L77" s="290">
        <v>271</v>
      </c>
      <c r="M77" s="290">
        <f>M43*E77/100</f>
        <v>3547.9839215844781</v>
      </c>
      <c r="N77" s="290">
        <f>N43*E77/100</f>
        <v>321.97266099999996</v>
      </c>
      <c r="O77" s="290">
        <f>O43*E77/100</f>
        <v>349.01836452399999</v>
      </c>
      <c r="P77" s="290">
        <f>P43*E77/100</f>
        <v>376.93983368592001</v>
      </c>
    </row>
    <row r="78" spans="1:18" ht="35.1" customHeight="1" x14ac:dyDescent="0.5">
      <c r="A78" s="263"/>
      <c r="B78" s="264"/>
      <c r="C78" s="265"/>
      <c r="D78" s="269" t="s">
        <v>217</v>
      </c>
      <c r="E78" s="228">
        <f>L78/L46*100</f>
        <v>21.92866578599736</v>
      </c>
      <c r="F78" s="268"/>
      <c r="G78" s="268"/>
      <c r="H78" s="268"/>
      <c r="I78" s="268"/>
      <c r="J78" s="268"/>
      <c r="K78" s="296"/>
      <c r="L78" s="290">
        <v>830</v>
      </c>
      <c r="M78" s="290">
        <f>M46*E78/100</f>
        <v>830.00109643328915</v>
      </c>
      <c r="N78" s="290">
        <f>N46*E78/100</f>
        <v>986.11553000000015</v>
      </c>
      <c r="O78" s="290">
        <f>O46*E78/100</f>
        <v>1068.9492345200001</v>
      </c>
      <c r="P78" s="290">
        <f>P46*E78/100</f>
        <v>1154.4651732816003</v>
      </c>
    </row>
    <row r="79" spans="1:18" ht="24.95" customHeight="1" x14ac:dyDescent="0.5">
      <c r="A79" s="263"/>
      <c r="B79" s="264"/>
      <c r="C79" s="265"/>
      <c r="D79" s="230" t="s">
        <v>233</v>
      </c>
      <c r="E79" s="228">
        <f>L79/L49*100</f>
        <v>22.00000787001877</v>
      </c>
      <c r="F79" s="268"/>
      <c r="G79" s="268"/>
      <c r="H79" s="268"/>
      <c r="I79" s="268"/>
      <c r="J79" s="268"/>
      <c r="K79" s="296"/>
      <c r="L79" s="290">
        <v>279542</v>
      </c>
      <c r="M79" s="290">
        <f>M48*E79/100</f>
        <v>329873.29541770404</v>
      </c>
      <c r="N79" s="290">
        <f>N48*E79/100</f>
        <v>334451.29265168996</v>
      </c>
      <c r="O79" s="290">
        <f>O48*E79/100</f>
        <v>355436.07757713541</v>
      </c>
      <c r="P79" s="290">
        <f>P48*E79/100</f>
        <v>377466.92223598593</v>
      </c>
    </row>
    <row r="80" spans="1:18" ht="35.25" x14ac:dyDescent="0.5">
      <c r="A80" s="263"/>
      <c r="B80" s="264"/>
      <c r="C80" s="265"/>
      <c r="D80" s="230" t="s">
        <v>234</v>
      </c>
      <c r="E80" s="228">
        <f>L80/L58*100</f>
        <v>21.942518705131889</v>
      </c>
      <c r="F80" s="268"/>
      <c r="G80" s="268"/>
      <c r="H80" s="268"/>
      <c r="I80" s="268"/>
      <c r="J80" s="268"/>
      <c r="K80" s="296"/>
      <c r="L80" s="290">
        <v>709329</v>
      </c>
      <c r="M80" s="290">
        <f>M57*E80/100</f>
        <v>959302.014346187</v>
      </c>
      <c r="N80" s="290">
        <f>N57*E80/100</f>
        <v>914649.85373909352</v>
      </c>
      <c r="O80" s="290">
        <f>O57*E80/100</f>
        <v>968499.816030449</v>
      </c>
      <c r="P80" s="290">
        <f>P57*E80/100</f>
        <v>1025034.117351177</v>
      </c>
    </row>
    <row r="82" spans="1:16" ht="23.25" x14ac:dyDescent="0.25">
      <c r="E82" s="272"/>
      <c r="F82" s="272"/>
      <c r="G82" s="272"/>
      <c r="H82" s="272"/>
      <c r="I82" s="272"/>
      <c r="J82" s="272"/>
      <c r="K82" s="272"/>
      <c r="L82" s="272"/>
      <c r="M82" s="272"/>
      <c r="N82" s="272"/>
    </row>
    <row r="83" spans="1:16" ht="26.25" x14ac:dyDescent="0.4">
      <c r="A83" s="281" t="s">
        <v>294</v>
      </c>
      <c r="B83" s="281"/>
      <c r="C83" s="281"/>
      <c r="D83" s="281"/>
      <c r="E83" s="272"/>
      <c r="F83" s="272"/>
      <c r="G83" s="272"/>
      <c r="I83" s="272"/>
      <c r="J83" s="272"/>
      <c r="K83" s="272"/>
    </row>
    <row r="84" spans="1:16" ht="22.5" x14ac:dyDescent="0.25">
      <c r="A84" s="282"/>
      <c r="B84" s="282"/>
      <c r="C84" s="282"/>
      <c r="D84" s="282"/>
      <c r="E84" s="282"/>
      <c r="F84" s="282"/>
      <c r="G84" s="282"/>
      <c r="H84" s="282"/>
      <c r="I84" s="282"/>
      <c r="J84" s="282"/>
      <c r="K84" s="282"/>
    </row>
    <row r="85" spans="1:16" ht="33" x14ac:dyDescent="0.25">
      <c r="A85" s="278" t="s">
        <v>295</v>
      </c>
      <c r="B85" s="278"/>
      <c r="C85" s="278"/>
      <c r="D85" s="273"/>
      <c r="E85" s="274"/>
      <c r="F85" s="274"/>
      <c r="G85" s="274"/>
      <c r="H85" s="274"/>
      <c r="I85" s="274"/>
      <c r="J85" s="274"/>
      <c r="K85" s="274"/>
      <c r="L85" s="274"/>
      <c r="M85" s="274"/>
      <c r="N85" s="274"/>
    </row>
    <row r="86" spans="1:16" ht="33" x14ac:dyDescent="0.25">
      <c r="A86" s="278"/>
      <c r="B86" s="278"/>
      <c r="C86" s="278"/>
      <c r="D86" s="275"/>
      <c r="E86" s="276"/>
      <c r="F86" s="274"/>
      <c r="G86" s="274"/>
      <c r="H86" s="274"/>
      <c r="I86" s="274"/>
      <c r="J86" s="274"/>
      <c r="K86" s="274"/>
      <c r="L86" s="274"/>
      <c r="M86" s="274"/>
      <c r="P86" s="277" t="s">
        <v>296</v>
      </c>
    </row>
  </sheetData>
  <mergeCells count="5">
    <mergeCell ref="A85:C86"/>
    <mergeCell ref="B1:P1"/>
    <mergeCell ref="B2:P2"/>
    <mergeCell ref="A83:D83"/>
    <mergeCell ref="A84:K84"/>
  </mergeCells>
  <pageMargins left="0.11811023622047245" right="0.11811023622047245" top="0" bottom="0.19685039370078741" header="0.11811023622047245" footer="0.11811023622047245"/>
  <pageSetup paperSize="9" scale="36" fitToHeight="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E30" sqref="E30"/>
    </sheetView>
  </sheetViews>
  <sheetFormatPr defaultRowHeight="15" x14ac:dyDescent="0.25"/>
  <cols>
    <col min="1" max="1" width="22.7109375" customWidth="1"/>
    <col min="2" max="2" width="17.28515625" customWidth="1"/>
    <col min="3" max="3" width="22.7109375" customWidth="1"/>
    <col min="4" max="5" width="16.140625" customWidth="1"/>
    <col min="6" max="6" width="13.7109375" customWidth="1"/>
    <col min="7" max="7" width="13.28515625" customWidth="1"/>
    <col min="8" max="8" width="22.42578125" customWidth="1"/>
    <col min="9" max="9" width="14.42578125" customWidth="1"/>
  </cols>
  <sheetData>
    <row r="1" spans="1:9" x14ac:dyDescent="0.25">
      <c r="A1" t="s">
        <v>251</v>
      </c>
    </row>
    <row r="3" spans="1:9" ht="75" x14ac:dyDescent="0.25">
      <c r="A3" s="207" t="s">
        <v>281</v>
      </c>
      <c r="B3" s="207" t="s">
        <v>280</v>
      </c>
      <c r="C3" s="207" t="s">
        <v>252</v>
      </c>
      <c r="D3" s="207" t="s">
        <v>253</v>
      </c>
      <c r="E3" s="69" t="s">
        <v>249</v>
      </c>
      <c r="F3" s="207" t="s">
        <v>252</v>
      </c>
      <c r="G3" s="69" t="s">
        <v>275</v>
      </c>
      <c r="H3" s="69" t="s">
        <v>274</v>
      </c>
      <c r="I3" s="69"/>
    </row>
    <row r="4" spans="1:9" ht="30" x14ac:dyDescent="0.25">
      <c r="A4" s="207">
        <v>1</v>
      </c>
      <c r="B4" s="207">
        <v>2</v>
      </c>
      <c r="C4" s="207" t="s">
        <v>254</v>
      </c>
      <c r="D4" s="207">
        <v>4</v>
      </c>
      <c r="E4" s="207">
        <v>5</v>
      </c>
      <c r="F4" s="207" t="s">
        <v>255</v>
      </c>
      <c r="G4" s="69" t="s">
        <v>256</v>
      </c>
      <c r="H4" s="69" t="s">
        <v>256</v>
      </c>
    </row>
    <row r="5" spans="1:9" x14ac:dyDescent="0.25">
      <c r="A5" s="224">
        <v>732949</v>
      </c>
      <c r="B5" s="223">
        <v>1029349</v>
      </c>
      <c r="C5" s="208">
        <f>ROUND(B5/A5*100,1)</f>
        <v>140.4</v>
      </c>
      <c r="D5" s="224">
        <v>1284529</v>
      </c>
      <c r="E5" s="224">
        <v>1403990.1969999999</v>
      </c>
      <c r="F5" s="209">
        <f>E5/D5*100</f>
        <v>109.3</v>
      </c>
      <c r="G5" s="71">
        <f>ROUND(D5*C5/100,)</f>
        <v>1803479</v>
      </c>
      <c r="H5" s="71">
        <f>G5-E5</f>
        <v>399488.80300000007</v>
      </c>
    </row>
    <row r="6" spans="1:9" x14ac:dyDescent="0.25">
      <c r="A6" s="60"/>
      <c r="B6" s="60"/>
      <c r="C6" s="60"/>
      <c r="D6" s="60"/>
      <c r="E6" s="60"/>
      <c r="F6" s="60"/>
      <c r="G6" s="60"/>
      <c r="H6" s="60"/>
    </row>
    <row r="7" spans="1:9" x14ac:dyDescent="0.25">
      <c r="A7" s="60"/>
      <c r="B7" s="60"/>
      <c r="C7" s="60"/>
      <c r="D7" s="60"/>
      <c r="E7" s="60"/>
      <c r="F7" s="60"/>
      <c r="G7" s="60"/>
      <c r="H7" s="60"/>
    </row>
    <row r="8" spans="1:9" x14ac:dyDescent="0.25">
      <c r="A8" s="60"/>
      <c r="B8" s="60"/>
      <c r="C8" s="60"/>
      <c r="D8" s="60"/>
      <c r="E8" s="60"/>
      <c r="F8" s="60"/>
      <c r="G8" s="60"/>
      <c r="H8" s="60"/>
    </row>
    <row r="9" spans="1:9" x14ac:dyDescent="0.25">
      <c r="A9" s="60"/>
      <c r="B9" s="60"/>
      <c r="C9" s="60"/>
      <c r="D9" s="60"/>
      <c r="E9" s="60"/>
      <c r="F9" s="60"/>
      <c r="G9" s="60"/>
      <c r="H9" s="6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H16" sqref="H16"/>
    </sheetView>
  </sheetViews>
  <sheetFormatPr defaultRowHeight="15" x14ac:dyDescent="0.25"/>
  <cols>
    <col min="1" max="1" width="34.7109375" customWidth="1"/>
    <col min="5" max="5" width="17.5703125" customWidth="1"/>
    <col min="6" max="6" width="16" customWidth="1"/>
    <col min="7" max="7" width="11.5703125" customWidth="1"/>
    <col min="8" max="8" width="30.42578125" customWidth="1"/>
    <col min="9" max="9" width="14.7109375" customWidth="1"/>
    <col min="10" max="10" width="12.85546875" customWidth="1"/>
  </cols>
  <sheetData>
    <row r="1" spans="1:10" x14ac:dyDescent="0.25">
      <c r="A1" s="283" t="s">
        <v>273</v>
      </c>
      <c r="B1" s="284"/>
      <c r="C1" s="284"/>
      <c r="D1" s="284"/>
      <c r="E1" s="284"/>
      <c r="F1" s="284"/>
      <c r="G1" s="210"/>
      <c r="H1" s="210"/>
      <c r="I1" s="210"/>
      <c r="J1" s="210"/>
    </row>
    <row r="2" spans="1:10" ht="34.5" customHeight="1" x14ac:dyDescent="0.25">
      <c r="A2" s="284" t="s">
        <v>278</v>
      </c>
      <c r="B2" s="284"/>
      <c r="C2" s="284"/>
      <c r="D2" s="284"/>
      <c r="E2" s="284"/>
      <c r="F2" s="284"/>
      <c r="G2" s="210"/>
      <c r="H2" s="210"/>
      <c r="I2" s="210"/>
      <c r="J2" s="210"/>
    </row>
    <row r="3" spans="1:10" x14ac:dyDescent="0.25">
      <c r="A3" s="210"/>
      <c r="B3" s="210"/>
      <c r="C3" s="210"/>
      <c r="D3" s="210"/>
      <c r="E3" s="210"/>
      <c r="F3" s="211" t="s">
        <v>257</v>
      </c>
      <c r="G3" s="210"/>
      <c r="H3" s="210"/>
      <c r="I3" s="210"/>
      <c r="J3" s="210"/>
    </row>
    <row r="4" spans="1:10" ht="15" customHeight="1" x14ac:dyDescent="0.25">
      <c r="A4" s="285" t="s">
        <v>258</v>
      </c>
      <c r="B4" s="285" t="s">
        <v>289</v>
      </c>
      <c r="C4" s="285" t="s">
        <v>288</v>
      </c>
      <c r="D4" s="225" t="s">
        <v>276</v>
      </c>
      <c r="E4" s="221" t="s">
        <v>259</v>
      </c>
      <c r="F4" s="221" t="s">
        <v>260</v>
      </c>
      <c r="G4" s="221" t="s">
        <v>261</v>
      </c>
      <c r="H4" s="221" t="s">
        <v>262</v>
      </c>
      <c r="I4" s="222" t="s">
        <v>290</v>
      </c>
    </row>
    <row r="5" spans="1:10" ht="67.5" customHeight="1" x14ac:dyDescent="0.25">
      <c r="A5" s="285"/>
      <c r="B5" s="285"/>
      <c r="C5" s="285"/>
      <c r="D5" s="220" t="s">
        <v>263</v>
      </c>
      <c r="E5" s="222"/>
      <c r="F5" s="222"/>
      <c r="G5" s="222"/>
      <c r="H5" s="222"/>
    </row>
    <row r="6" spans="1:10" ht="63.75" customHeight="1" x14ac:dyDescent="0.25">
      <c r="A6" s="285"/>
      <c r="B6" s="285"/>
      <c r="C6" s="285"/>
      <c r="D6" s="220"/>
      <c r="E6" s="222"/>
      <c r="F6" s="222"/>
      <c r="G6" s="222"/>
      <c r="H6" s="222"/>
    </row>
    <row r="7" spans="1:10" x14ac:dyDescent="0.25">
      <c r="A7" s="212"/>
      <c r="B7" s="212"/>
      <c r="C7" s="212"/>
      <c r="D7" s="212"/>
      <c r="E7" s="222"/>
      <c r="F7" s="222"/>
      <c r="G7" s="222"/>
      <c r="H7" s="222"/>
    </row>
    <row r="8" spans="1:10" x14ac:dyDescent="0.25">
      <c r="A8" s="212" t="s">
        <v>264</v>
      </c>
      <c r="B8" s="212">
        <v>4</v>
      </c>
      <c r="C8" s="212">
        <v>5</v>
      </c>
      <c r="D8" s="212">
        <v>8</v>
      </c>
      <c r="E8" s="213" t="s">
        <v>265</v>
      </c>
      <c r="F8" s="213">
        <v>10</v>
      </c>
      <c r="G8" s="213">
        <v>11</v>
      </c>
      <c r="H8" s="213" t="s">
        <v>266</v>
      </c>
    </row>
    <row r="9" spans="1:10" x14ac:dyDescent="0.25">
      <c r="A9" s="214" t="s">
        <v>267</v>
      </c>
      <c r="B9" s="219">
        <v>312027</v>
      </c>
      <c r="C9" s="219">
        <v>303120</v>
      </c>
      <c r="D9" s="215">
        <f>B9/C9*100</f>
        <v>102.93844022169438</v>
      </c>
      <c r="E9" s="216">
        <f>B9-C9</f>
        <v>8907</v>
      </c>
      <c r="F9" s="217">
        <v>85014.8</v>
      </c>
      <c r="G9" s="218">
        <v>7</v>
      </c>
      <c r="H9" s="216">
        <f>E9*F9*G9/1000</f>
        <v>5300587.7652000003</v>
      </c>
      <c r="I9" s="226">
        <f>H9*13%</f>
        <v>689076.409476</v>
      </c>
    </row>
    <row r="10" spans="1:10" x14ac:dyDescent="0.25">
      <c r="G10" s="30"/>
    </row>
  </sheetData>
  <mergeCells count="5">
    <mergeCell ref="A1:F1"/>
    <mergeCell ref="A2:F2"/>
    <mergeCell ref="A4:A6"/>
    <mergeCell ref="B4:B6"/>
    <mergeCell ref="C4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Налоговая ставка</vt:lpstr>
      <vt:lpstr>НДФЛ 2024, темп 109.3</vt:lpstr>
      <vt:lpstr>204 КБК</vt:lpstr>
      <vt:lpstr>201 КБК</vt:lpstr>
      <vt:lpstr>'НДФЛ 2024, темп 109.3'!Область_печати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Елена Сергеевна</dc:creator>
  <cp:lastModifiedBy>Дубровина Светлана Леонидовна</cp:lastModifiedBy>
  <cp:lastPrinted>2024-11-07T08:06:58Z</cp:lastPrinted>
  <dcterms:created xsi:type="dcterms:W3CDTF">2016-10-07T07:00:34Z</dcterms:created>
  <dcterms:modified xsi:type="dcterms:W3CDTF">2024-11-07T08:07:04Z</dcterms:modified>
</cp:coreProperties>
</file>